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omments3.xml" ContentType="application/vnd.openxmlformats-officedocument.spreadsheetml.comments+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3.xml" ContentType="application/vnd.openxmlformats-officedocument.drawing+xml"/>
  <Override PartName="/xl/comments4.xml" ContentType="application/vnd.openxmlformats-officedocument.spreadsheetml.comments+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4.xml" ContentType="application/vnd.openxmlformats-officedocument.drawing+xml"/>
  <Override PartName="/xl/comments5.xml" ContentType="application/vnd.openxmlformats-officedocument.spreadsheetml.comments+xml"/>
  <Override PartName="/xl/charts/chart16.xml" ContentType="application/vnd.openxmlformats-officedocument.drawingml.chart+xml"/>
  <Override PartName="/xl/charts/chart17.xml" ContentType="application/vnd.openxmlformats-officedocument.drawingml.chart+xml"/>
  <Override PartName="/xl/drawings/drawing5.xml" ContentType="application/vnd.openxmlformats-officedocument.drawing+xml"/>
  <Override PartName="/xl/comments6.xml" ContentType="application/vnd.openxmlformats-officedocument.spreadsheetml.comments+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6.xml" ContentType="application/vnd.openxmlformats-officedocument.drawing+xml"/>
  <Override PartName="/xl/comments7.xml" ContentType="application/vnd.openxmlformats-officedocument.spreadsheetml.comments+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7.xml" ContentType="application/vnd.openxmlformats-officedocument.drawing+xml"/>
  <Override PartName="/xl/comments8.xml" ContentType="application/vnd.openxmlformats-officedocument.spreadsheetml.comments+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drawings/drawing8.xml" ContentType="application/vnd.openxmlformats-officedocument.drawing+xml"/>
  <Override PartName="/xl/comments9.xml" ContentType="application/vnd.openxmlformats-officedocument.spreadsheetml.comments+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defaultThemeVersion="124226"/>
  <bookViews>
    <workbookView xWindow="-30" yWindow="-105" windowWidth="28530" windowHeight="12720" tabRatio="786" activeTab="3"/>
  </bookViews>
  <sheets>
    <sheet name="Your Estimation" sheetId="4" r:id="rId1"/>
    <sheet name="Links to Statistics" sheetId="9" r:id="rId2"/>
    <sheet name="Result of your Estimation" sheetId="12" r:id="rId3"/>
    <sheet name="Short Version Cautious" sheetId="14" r:id="rId4"/>
    <sheet name="Cautious" sheetId="15" r:id="rId5"/>
    <sheet name="Realistic" sheetId="16" r:id="rId6"/>
    <sheet name="Comparision successful Networks" sheetId="3" r:id="rId7"/>
    <sheet name="Optimistic" sheetId="18" r:id="rId8"/>
    <sheet name="Pessimistic" sheetId="20" r:id="rId9"/>
    <sheet name="Worst Case" sheetId="21" r:id="rId10"/>
    <sheet name="Possible+" sheetId="22" r:id="rId11"/>
  </sheets>
  <calcPr calcId="144525"/>
  <customWorkbookViews>
    <customWorkbookView name="Michael Schöggl - Persönliche Ansicht" guid="{09E562D2-D560-4B45-A29C-3521ECE58314}" mergeInterval="0" changesSavedWin="1" personalView="1" maximized="1" windowWidth="1920" windowHeight="814" activeSheetId="1"/>
  </customWorkbookViews>
</workbook>
</file>

<file path=xl/calcChain.xml><?xml version="1.0" encoding="utf-8"?>
<calcChain xmlns="http://schemas.openxmlformats.org/spreadsheetml/2006/main">
  <c r="AA26" i="3" l="1"/>
  <c r="AA25" i="3"/>
  <c r="AA24" i="3"/>
  <c r="AA23" i="3"/>
  <c r="AA22" i="3"/>
  <c r="AA21" i="3"/>
  <c r="CI46" i="22"/>
  <c r="CH46" i="22"/>
  <c r="CJ46" i="22" s="1"/>
  <c r="CG46" i="22"/>
  <c r="CD46" i="22"/>
  <c r="CC46" i="22"/>
  <c r="CB46" i="22"/>
  <c r="BY46" i="22"/>
  <c r="BX46" i="22"/>
  <c r="BZ46" i="22" s="1"/>
  <c r="BW46" i="22"/>
  <c r="BT46" i="22"/>
  <c r="BS46" i="22"/>
  <c r="BR46" i="22"/>
  <c r="BN46" i="22"/>
  <c r="BM46" i="22"/>
  <c r="BO46" i="22" s="1"/>
  <c r="BL46" i="22"/>
  <c r="BI46" i="22"/>
  <c r="BH46" i="22"/>
  <c r="BG46" i="22"/>
  <c r="BJ46" i="22" s="1"/>
  <c r="BD46" i="22"/>
  <c r="BC46" i="22"/>
  <c r="BE46" i="22" s="1"/>
  <c r="BB46" i="22"/>
  <c r="AR46" i="22"/>
  <c r="AH46" i="22"/>
  <c r="AD46" i="22"/>
  <c r="AC46" i="22"/>
  <c r="AB46" i="22"/>
  <c r="T46" i="22"/>
  <c r="K46" i="22"/>
  <c r="AY46" i="22" s="1"/>
  <c r="I46" i="22"/>
  <c r="AQ46" i="22" s="1"/>
  <c r="H46" i="22"/>
  <c r="G46" i="22"/>
  <c r="AG46" i="22" s="1"/>
  <c r="AI45" i="22"/>
  <c r="AH45" i="22"/>
  <c r="AG45" i="22"/>
  <c r="AJ45" i="22" s="1"/>
  <c r="AD45" i="22"/>
  <c r="AC45" i="22"/>
  <c r="AB45" i="22"/>
  <c r="AE45" i="22" s="1"/>
  <c r="AQ44" i="22"/>
  <c r="AM44" i="22"/>
  <c r="AI44" i="22"/>
  <c r="AH44" i="22"/>
  <c r="AG44" i="22"/>
  <c r="AJ44" i="22" s="1"/>
  <c r="AD44" i="22"/>
  <c r="AC44" i="22"/>
  <c r="AB44" i="22"/>
  <c r="I44" i="22"/>
  <c r="H44" i="22"/>
  <c r="AN44" i="22" s="1"/>
  <c r="AI43" i="22"/>
  <c r="AH43" i="22"/>
  <c r="AG43" i="22"/>
  <c r="AJ43" i="22" s="1"/>
  <c r="AD43" i="22"/>
  <c r="AC43" i="22"/>
  <c r="AB43" i="22"/>
  <c r="AE43" i="22" s="1"/>
  <c r="Z43" i="22"/>
  <c r="Z42" i="22"/>
  <c r="AB41" i="22"/>
  <c r="F41" i="22"/>
  <c r="AD41" i="22" s="1"/>
  <c r="AD40" i="22"/>
  <c r="AE40" i="22" s="1"/>
  <c r="AC40" i="22"/>
  <c r="AB40" i="22"/>
  <c r="AE39" i="22"/>
  <c r="AD39" i="22"/>
  <c r="AC39" i="22"/>
  <c r="AB39" i="22"/>
  <c r="CG38" i="22"/>
  <c r="CC38" i="22"/>
  <c r="BW38" i="22"/>
  <c r="BS38" i="22"/>
  <c r="BL38" i="22"/>
  <c r="BH38" i="22"/>
  <c r="BB38" i="22"/>
  <c r="AX38" i="22"/>
  <c r="AQ38" i="22"/>
  <c r="AM38" i="22"/>
  <c r="AG38" i="22"/>
  <c r="AC38" i="22"/>
  <c r="S38" i="22"/>
  <c r="X38" i="22" s="1"/>
  <c r="R38" i="22"/>
  <c r="CD38" i="22" s="1"/>
  <c r="Q38" i="22"/>
  <c r="P38" i="22"/>
  <c r="BT38" i="22" s="1"/>
  <c r="N38" i="22"/>
  <c r="BN38" i="22" s="1"/>
  <c r="M38" i="22"/>
  <c r="BI38" i="22" s="1"/>
  <c r="L38" i="22"/>
  <c r="K38" i="22"/>
  <c r="AY38" i="22" s="1"/>
  <c r="I38" i="22"/>
  <c r="H38" i="22"/>
  <c r="AN38" i="22" s="1"/>
  <c r="G38" i="22"/>
  <c r="AI38" i="22" s="1"/>
  <c r="F38" i="22"/>
  <c r="AD38" i="22" s="1"/>
  <c r="AH36" i="22"/>
  <c r="AG36" i="22"/>
  <c r="AC36" i="22"/>
  <c r="Z36" i="22"/>
  <c r="G36" i="22"/>
  <c r="AI36" i="22" s="1"/>
  <c r="AJ36" i="22" s="1"/>
  <c r="F36" i="22"/>
  <c r="AD36" i="22" s="1"/>
  <c r="AG35" i="22"/>
  <c r="G35" i="22"/>
  <c r="F35" i="22"/>
  <c r="AI34" i="22"/>
  <c r="AH34" i="22"/>
  <c r="AG34" i="22"/>
  <c r="AJ34" i="22" s="1"/>
  <c r="AD34" i="22"/>
  <c r="AC34" i="22"/>
  <c r="AB34" i="22"/>
  <c r="AE34" i="22" s="1"/>
  <c r="Z34" i="22"/>
  <c r="AH33" i="22"/>
  <c r="AD33" i="22"/>
  <c r="AC33" i="22"/>
  <c r="Z33" i="22"/>
  <c r="Z47" i="22" s="1"/>
  <c r="Z49" i="22" s="1"/>
  <c r="G33" i="22"/>
  <c r="AI33" i="22" s="1"/>
  <c r="F33" i="22"/>
  <c r="AB33" i="22" s="1"/>
  <c r="CJ29" i="22"/>
  <c r="CI29" i="22"/>
  <c r="CH29" i="22"/>
  <c r="CG29" i="22"/>
  <c r="CD29" i="22"/>
  <c r="CC29" i="22"/>
  <c r="CB29" i="22"/>
  <c r="BY29" i="22"/>
  <c r="BZ29" i="22" s="1"/>
  <c r="BX29" i="22"/>
  <c r="BW29" i="22"/>
  <c r="BT29" i="22"/>
  <c r="BS29" i="22"/>
  <c r="BR29" i="22"/>
  <c r="BO29" i="22"/>
  <c r="BN29" i="22"/>
  <c r="BM29" i="22"/>
  <c r="BL29" i="22"/>
  <c r="BI29" i="22"/>
  <c r="BJ29" i="22" s="1"/>
  <c r="BH29" i="22"/>
  <c r="BG29" i="22"/>
  <c r="BD29" i="22"/>
  <c r="BC29" i="22"/>
  <c r="BB29" i="22"/>
  <c r="AY29" i="22"/>
  <c r="AZ29" i="22" s="1"/>
  <c r="AX29" i="22"/>
  <c r="AW29" i="22"/>
  <c r="AT29" i="22"/>
  <c r="AS29" i="22"/>
  <c r="AR29" i="22"/>
  <c r="AQ29" i="22"/>
  <c r="AN29" i="22"/>
  <c r="AO29" i="22" s="1"/>
  <c r="AM29" i="22"/>
  <c r="AL29" i="22"/>
  <c r="AI29" i="22"/>
  <c r="AH29" i="22"/>
  <c r="AG29" i="22"/>
  <c r="AJ29" i="22" s="1"/>
  <c r="AD29" i="22"/>
  <c r="AE29" i="22" s="1"/>
  <c r="AC29" i="22"/>
  <c r="AB29" i="22"/>
  <c r="X28" i="22"/>
  <c r="W28" i="22"/>
  <c r="V28" i="22"/>
  <c r="S28" i="22"/>
  <c r="R28" i="22"/>
  <c r="Q28" i="22"/>
  <c r="P28" i="22"/>
  <c r="X27" i="22"/>
  <c r="W27" i="22"/>
  <c r="V27" i="22"/>
  <c r="S27" i="22"/>
  <c r="R27" i="22"/>
  <c r="Q27" i="22"/>
  <c r="P27" i="22"/>
  <c r="AM26" i="22"/>
  <c r="X26" i="22"/>
  <c r="W26" i="22"/>
  <c r="V26" i="22"/>
  <c r="S26" i="22"/>
  <c r="R26" i="22"/>
  <c r="Q26" i="22"/>
  <c r="P26" i="22"/>
  <c r="N26" i="22"/>
  <c r="M26" i="22"/>
  <c r="L26" i="22"/>
  <c r="K26" i="22"/>
  <c r="X25" i="22"/>
  <c r="W25" i="22"/>
  <c r="V25" i="22"/>
  <c r="S25" i="22"/>
  <c r="R25" i="22"/>
  <c r="Q25" i="22"/>
  <c r="P25" i="22"/>
  <c r="N25" i="22"/>
  <c r="M25" i="22"/>
  <c r="L25" i="22"/>
  <c r="K25" i="22"/>
  <c r="X24" i="22"/>
  <c r="W24" i="22"/>
  <c r="V24" i="22"/>
  <c r="S24" i="22"/>
  <c r="R24" i="22"/>
  <c r="Q24" i="22"/>
  <c r="P24" i="22"/>
  <c r="N24" i="22"/>
  <c r="M24" i="22"/>
  <c r="L24" i="22"/>
  <c r="K24" i="22"/>
  <c r="AO23" i="22"/>
  <c r="AN23" i="22"/>
  <c r="AN26" i="22" s="1"/>
  <c r="AM23" i="22"/>
  <c r="AL23" i="22"/>
  <c r="AL26" i="22" s="1"/>
  <c r="AO26" i="22" s="1"/>
  <c r="X23" i="22"/>
  <c r="W23" i="22"/>
  <c r="V23" i="22"/>
  <c r="S23" i="22"/>
  <c r="R23" i="22"/>
  <c r="Q23" i="22"/>
  <c r="P23" i="22"/>
  <c r="N23" i="22"/>
  <c r="M23" i="22"/>
  <c r="L23" i="22"/>
  <c r="K23" i="22"/>
  <c r="AM22" i="22"/>
  <c r="AM25" i="22" s="1"/>
  <c r="AM28" i="22" s="1"/>
  <c r="X22" i="22"/>
  <c r="W22" i="22"/>
  <c r="V22" i="22"/>
  <c r="S22" i="22"/>
  <c r="R22" i="22"/>
  <c r="Q22" i="22"/>
  <c r="P22" i="22"/>
  <c r="N22" i="22"/>
  <c r="M22" i="22"/>
  <c r="L22" i="22"/>
  <c r="K22" i="22"/>
  <c r="I22" i="22"/>
  <c r="H22" i="22"/>
  <c r="AN22" i="22" s="1"/>
  <c r="AN25" i="22" s="1"/>
  <c r="AN28" i="22" s="1"/>
  <c r="X21" i="22"/>
  <c r="W21" i="22"/>
  <c r="V21" i="22"/>
  <c r="S21" i="22"/>
  <c r="R21" i="22"/>
  <c r="Q21" i="22"/>
  <c r="P21" i="22"/>
  <c r="N21" i="22"/>
  <c r="M21" i="22"/>
  <c r="L21" i="22"/>
  <c r="K21" i="22"/>
  <c r="I21" i="22"/>
  <c r="H21" i="22"/>
  <c r="CH15" i="22"/>
  <c r="CG15" i="22"/>
  <c r="CD15" i="22"/>
  <c r="CC15" i="22"/>
  <c r="CB15" i="22"/>
  <c r="CE15" i="22" s="1"/>
  <c r="BR15" i="22"/>
  <c r="BC15" i="22"/>
  <c r="BB15" i="22"/>
  <c r="AY15" i="22"/>
  <c r="AX15" i="22"/>
  <c r="AW15" i="22"/>
  <c r="AZ15" i="22" s="1"/>
  <c r="AL15" i="22"/>
  <c r="AI15" i="22"/>
  <c r="AH15" i="22"/>
  <c r="AG15" i="22"/>
  <c r="AJ15" i="22" s="1"/>
  <c r="AD15" i="22"/>
  <c r="AC15" i="22"/>
  <c r="AB15" i="22"/>
  <c r="AE15" i="22" s="1"/>
  <c r="S15" i="22"/>
  <c r="CI15" i="22" s="1"/>
  <c r="R15" i="22"/>
  <c r="Q15" i="22"/>
  <c r="BY15" i="22" s="1"/>
  <c r="P15" i="22"/>
  <c r="T15" i="22" s="1"/>
  <c r="N15" i="22"/>
  <c r="BN15" i="22" s="1"/>
  <c r="M15" i="22"/>
  <c r="BI15" i="22" s="1"/>
  <c r="L15" i="22"/>
  <c r="BD15" i="22" s="1"/>
  <c r="K15" i="22"/>
  <c r="I15" i="22"/>
  <c r="AS15" i="22" s="1"/>
  <c r="H15" i="22"/>
  <c r="J15" i="22" s="1"/>
  <c r="F14" i="22"/>
  <c r="AD14" i="22" s="1"/>
  <c r="AJ13" i="22"/>
  <c r="AI13" i="22"/>
  <c r="AH13" i="22"/>
  <c r="AG13" i="22"/>
  <c r="AD13" i="22"/>
  <c r="AC13" i="22"/>
  <c r="AB13" i="22"/>
  <c r="AE13" i="22" s="1"/>
  <c r="X13" i="22"/>
  <c r="W13" i="22"/>
  <c r="V13" i="22"/>
  <c r="S13" i="22"/>
  <c r="CI13" i="22" s="1"/>
  <c r="R13" i="22"/>
  <c r="CD13" i="22" s="1"/>
  <c r="Q13" i="22"/>
  <c r="BY13" i="22" s="1"/>
  <c r="P13" i="22"/>
  <c r="N13" i="22"/>
  <c r="BN13" i="22" s="1"/>
  <c r="M13" i="22"/>
  <c r="BG13" i="22" s="1"/>
  <c r="L13" i="22"/>
  <c r="BD13" i="22" s="1"/>
  <c r="K13" i="22"/>
  <c r="AY13" i="22" s="1"/>
  <c r="I13" i="22"/>
  <c r="AS13" i="22" s="1"/>
  <c r="H13" i="22"/>
  <c r="AN13" i="22" s="1"/>
  <c r="AJ12" i="22"/>
  <c r="AI12" i="22"/>
  <c r="AH12" i="22"/>
  <c r="AG12" i="22"/>
  <c r="AE12" i="22"/>
  <c r="AD12" i="22"/>
  <c r="AC12" i="22"/>
  <c r="AB12" i="22"/>
  <c r="X12" i="22"/>
  <c r="W12" i="22"/>
  <c r="V12" i="22"/>
  <c r="S12" i="22"/>
  <c r="R12" i="22"/>
  <c r="CD12" i="22" s="1"/>
  <c r="Q12" i="22"/>
  <c r="BY12" i="22" s="1"/>
  <c r="P12" i="22"/>
  <c r="N12" i="22"/>
  <c r="BN12" i="22" s="1"/>
  <c r="M12" i="22"/>
  <c r="BH12" i="22" s="1"/>
  <c r="L12" i="22"/>
  <c r="BD12" i="22" s="1"/>
  <c r="K12" i="22"/>
  <c r="AW12" i="22" s="1"/>
  <c r="I12" i="22"/>
  <c r="AS12" i="22" s="1"/>
  <c r="H12" i="22"/>
  <c r="AJ11" i="22"/>
  <c r="AI11" i="22"/>
  <c r="AH11" i="22"/>
  <c r="AG11" i="22"/>
  <c r="AD11" i="22"/>
  <c r="AC11" i="22"/>
  <c r="AB11" i="22"/>
  <c r="AE11" i="22" s="1"/>
  <c r="X11" i="22"/>
  <c r="W11" i="22"/>
  <c r="V11" i="22"/>
  <c r="S11" i="22"/>
  <c r="R11" i="22"/>
  <c r="CD11" i="22" s="1"/>
  <c r="Q11" i="22"/>
  <c r="P11" i="22"/>
  <c r="BS11" i="22" s="1"/>
  <c r="N11" i="22"/>
  <c r="BN11" i="22" s="1"/>
  <c r="M11" i="22"/>
  <c r="BG11" i="22" s="1"/>
  <c r="L11" i="22"/>
  <c r="BD11" i="22" s="1"/>
  <c r="K11" i="22"/>
  <c r="AW11" i="22" s="1"/>
  <c r="I11" i="22"/>
  <c r="H11" i="22"/>
  <c r="J11" i="22" s="1"/>
  <c r="AI10" i="22"/>
  <c r="AH10" i="22"/>
  <c r="AG10" i="22"/>
  <c r="AJ10" i="22" s="1"/>
  <c r="AE10" i="22"/>
  <c r="AD10" i="22"/>
  <c r="AC10" i="22"/>
  <c r="AB10" i="22"/>
  <c r="X10" i="22"/>
  <c r="W10" i="22"/>
  <c r="V10" i="22"/>
  <c r="S10" i="22"/>
  <c r="R10" i="22"/>
  <c r="CC10" i="22" s="1"/>
  <c r="Q10" i="22"/>
  <c r="P10" i="22"/>
  <c r="N10" i="22"/>
  <c r="M10" i="22"/>
  <c r="BI10" i="22" s="1"/>
  <c r="L10" i="22"/>
  <c r="K10" i="22"/>
  <c r="AW10" i="22" s="1"/>
  <c r="I10" i="22"/>
  <c r="AS10" i="22" s="1"/>
  <c r="H10" i="22"/>
  <c r="AN10" i="22" s="1"/>
  <c r="AI9" i="22"/>
  <c r="AH9" i="22"/>
  <c r="AG9" i="22"/>
  <c r="AJ9" i="22" s="1"/>
  <c r="AE9" i="22"/>
  <c r="AD9" i="22"/>
  <c r="AC9" i="22"/>
  <c r="AB9" i="22"/>
  <c r="X9" i="22"/>
  <c r="W9" i="22"/>
  <c r="V9" i="22"/>
  <c r="S9" i="22"/>
  <c r="CI9" i="22" s="1"/>
  <c r="R9" i="22"/>
  <c r="CD9" i="22" s="1"/>
  <c r="Q9" i="22"/>
  <c r="BY9" i="22" s="1"/>
  <c r="P9" i="22"/>
  <c r="N9" i="22"/>
  <c r="BN9" i="22" s="1"/>
  <c r="M9" i="22"/>
  <c r="BI9" i="22" s="1"/>
  <c r="L9" i="22"/>
  <c r="BD9" i="22" s="1"/>
  <c r="K9" i="22"/>
  <c r="I9" i="22"/>
  <c r="AS9" i="22" s="1"/>
  <c r="H9" i="22"/>
  <c r="AN9" i="22" s="1"/>
  <c r="Z8" i="22"/>
  <c r="AS7" i="22"/>
  <c r="AR7" i="22"/>
  <c r="AQ7" i="22"/>
  <c r="AT7" i="22" s="1"/>
  <c r="AO7" i="22"/>
  <c r="AN7" i="22"/>
  <c r="AM7" i="22"/>
  <c r="AL7" i="22"/>
  <c r="AI7" i="22"/>
  <c r="AH7" i="22"/>
  <c r="AG7" i="22"/>
  <c r="AJ7" i="22" s="1"/>
  <c r="AE7" i="22"/>
  <c r="AD7" i="22"/>
  <c r="AC7" i="22"/>
  <c r="AB7" i="22"/>
  <c r="J7" i="22"/>
  <c r="AI6" i="22"/>
  <c r="AH6" i="22"/>
  <c r="AG6" i="22"/>
  <c r="AJ6" i="22" s="1"/>
  <c r="AD6" i="22"/>
  <c r="AC6" i="22"/>
  <c r="AE6" i="22" s="1"/>
  <c r="AB6" i="22"/>
  <c r="AQ5" i="22"/>
  <c r="AN5" i="22"/>
  <c r="AM5" i="22"/>
  <c r="AI5" i="22"/>
  <c r="AH5" i="22"/>
  <c r="AG5" i="22"/>
  <c r="AJ5" i="22" s="1"/>
  <c r="AD5" i="22"/>
  <c r="AE5" i="22" s="1"/>
  <c r="AC5" i="22"/>
  <c r="AB5" i="22"/>
  <c r="J5" i="22"/>
  <c r="I5" i="22"/>
  <c r="AS5" i="22" s="1"/>
  <c r="H5" i="22"/>
  <c r="AL5" i="22" s="1"/>
  <c r="AO5" i="22" s="1"/>
  <c r="AN4" i="22"/>
  <c r="AM4" i="22"/>
  <c r="AG4" i="22"/>
  <c r="AD4" i="22"/>
  <c r="H4" i="22"/>
  <c r="AL4" i="22" s="1"/>
  <c r="AO4" i="22" s="1"/>
  <c r="G4" i="22"/>
  <c r="AI4" i="22" s="1"/>
  <c r="F4" i="22"/>
  <c r="AB4" i="22" s="1"/>
  <c r="B4" i="22"/>
  <c r="Y24" i="3"/>
  <c r="Y26" i="3"/>
  <c r="Y25" i="3"/>
  <c r="Y23" i="3"/>
  <c r="Y22" i="3"/>
  <c r="Y21" i="3"/>
  <c r="H33" i="21"/>
  <c r="AN33" i="21" s="1"/>
  <c r="S33" i="21"/>
  <c r="R33" i="21"/>
  <c r="Q33" i="21"/>
  <c r="P33" i="21"/>
  <c r="BT33" i="21" s="1"/>
  <c r="CJ46" i="21"/>
  <c r="CI46" i="21"/>
  <c r="CH46" i="21"/>
  <c r="CG46" i="21"/>
  <c r="CE46" i="21"/>
  <c r="CD46" i="21"/>
  <c r="CC46" i="21"/>
  <c r="CB46" i="21"/>
  <c r="BZ46" i="21"/>
  <c r="BY46" i="21"/>
  <c r="BX46" i="21"/>
  <c r="BW46" i="21"/>
  <c r="BU46" i="21"/>
  <c r="BT46" i="21"/>
  <c r="BS46" i="21"/>
  <c r="BR46" i="21"/>
  <c r="BO46" i="21"/>
  <c r="BN46" i="21"/>
  <c r="BM46" i="21"/>
  <c r="BL46" i="21"/>
  <c r="BJ46" i="21"/>
  <c r="BI46" i="21"/>
  <c r="BH46" i="21"/>
  <c r="BG46" i="21"/>
  <c r="BE46" i="21"/>
  <c r="BD46" i="21"/>
  <c r="BC46" i="21"/>
  <c r="BB46" i="21"/>
  <c r="AM46" i="21"/>
  <c r="AE46" i="21"/>
  <c r="AD46" i="21"/>
  <c r="AC46" i="21"/>
  <c r="AB46" i="21"/>
  <c r="T46" i="21"/>
  <c r="K46" i="21"/>
  <c r="AY46" i="21" s="1"/>
  <c r="I46" i="21"/>
  <c r="H46" i="21"/>
  <c r="AN46" i="21" s="1"/>
  <c r="G46" i="21"/>
  <c r="AH46" i="21" s="1"/>
  <c r="AI45" i="21"/>
  <c r="AH45" i="21"/>
  <c r="AG45" i="21"/>
  <c r="AD45" i="21"/>
  <c r="AC45" i="21"/>
  <c r="AB45" i="21"/>
  <c r="AI44" i="21"/>
  <c r="AH44" i="21"/>
  <c r="AG44" i="21"/>
  <c r="AJ44" i="21" s="1"/>
  <c r="AD44" i="21"/>
  <c r="AC44" i="21"/>
  <c r="AB44" i="21"/>
  <c r="H44" i="21"/>
  <c r="H4" i="21" s="1"/>
  <c r="AN43" i="21"/>
  <c r="AM43" i="21"/>
  <c r="AL43" i="21"/>
  <c r="AI43" i="21"/>
  <c r="AH43" i="21"/>
  <c r="AG43" i="21"/>
  <c r="AJ43" i="21" s="1"/>
  <c r="AD43" i="21"/>
  <c r="AC43" i="21"/>
  <c r="AB43" i="21"/>
  <c r="Z43" i="21"/>
  <c r="Z42" i="21"/>
  <c r="AD41" i="21"/>
  <c r="AD40" i="21"/>
  <c r="AC40" i="21"/>
  <c r="AE40" i="21" s="1"/>
  <c r="AB40" i="21"/>
  <c r="AD39" i="21"/>
  <c r="AC39" i="21"/>
  <c r="AB39" i="21"/>
  <c r="AE39" i="21" s="1"/>
  <c r="CC38" i="21"/>
  <c r="BS38" i="21"/>
  <c r="BM38" i="21"/>
  <c r="BH38" i="21"/>
  <c r="BC38" i="21"/>
  <c r="AX38" i="21"/>
  <c r="AM38" i="21"/>
  <c r="AC38" i="21"/>
  <c r="X38" i="21"/>
  <c r="S38" i="21"/>
  <c r="R38" i="21"/>
  <c r="CD38" i="21" s="1"/>
  <c r="Q38" i="21"/>
  <c r="P38" i="21"/>
  <c r="BT38" i="21" s="1"/>
  <c r="N38" i="21"/>
  <c r="BN38" i="21" s="1"/>
  <c r="M38" i="21"/>
  <c r="L38" i="21"/>
  <c r="BD38" i="21" s="1"/>
  <c r="K38" i="21"/>
  <c r="I38" i="21"/>
  <c r="H38" i="21"/>
  <c r="AN38" i="21" s="1"/>
  <c r="G38" i="21"/>
  <c r="F38" i="21"/>
  <c r="AD38" i="21" s="1"/>
  <c r="Z36" i="21"/>
  <c r="S36" i="21"/>
  <c r="CI36" i="21" s="1"/>
  <c r="R36" i="21"/>
  <c r="CC36" i="21" s="1"/>
  <c r="Q36" i="21"/>
  <c r="BX36" i="21" s="1"/>
  <c r="P36" i="21"/>
  <c r="H36" i="21"/>
  <c r="AI36" i="21"/>
  <c r="AC36" i="21"/>
  <c r="CI35" i="21"/>
  <c r="CH35" i="21"/>
  <c r="BY35" i="21"/>
  <c r="BS35" i="21"/>
  <c r="AI35" i="21"/>
  <c r="AH35" i="21"/>
  <c r="AD35" i="21"/>
  <c r="S35" i="21"/>
  <c r="CG35" i="21" s="1"/>
  <c r="R35" i="21"/>
  <c r="Q35" i="21"/>
  <c r="BW35" i="21" s="1"/>
  <c r="P35" i="21"/>
  <c r="BR35" i="21" s="1"/>
  <c r="H35" i="21"/>
  <c r="AL35" i="21" s="1"/>
  <c r="G35" i="21"/>
  <c r="AG35" i="21" s="1"/>
  <c r="AJ35" i="21" s="1"/>
  <c r="F35" i="21"/>
  <c r="CI34" i="21"/>
  <c r="CH34" i="21"/>
  <c r="CG34" i="21"/>
  <c r="CJ34" i="21" s="1"/>
  <c r="CD34" i="21"/>
  <c r="CC34" i="21"/>
  <c r="CB34" i="21"/>
  <c r="CE34" i="21" s="1"/>
  <c r="BY34" i="21"/>
  <c r="BX34" i="21"/>
  <c r="BW34" i="21"/>
  <c r="BZ34" i="21" s="1"/>
  <c r="BT34" i="21"/>
  <c r="BS34" i="21"/>
  <c r="BR34" i="21"/>
  <c r="AN34" i="21"/>
  <c r="AM34" i="21"/>
  <c r="AL34" i="21"/>
  <c r="AO34" i="21" s="1"/>
  <c r="AI34" i="21"/>
  <c r="AH34" i="21"/>
  <c r="AG34" i="21"/>
  <c r="AJ34" i="21" s="1"/>
  <c r="AD34" i="21"/>
  <c r="AC34" i="21"/>
  <c r="AB34" i="21"/>
  <c r="AE34" i="21" s="1"/>
  <c r="Z34" i="21"/>
  <c r="CB33" i="21"/>
  <c r="Z33" i="21"/>
  <c r="CI33" i="21"/>
  <c r="CD33" i="21"/>
  <c r="BW33" i="21"/>
  <c r="AI33" i="21"/>
  <c r="AD33" i="21"/>
  <c r="CI29" i="21"/>
  <c r="CH29" i="21"/>
  <c r="CG29" i="21"/>
  <c r="CJ29" i="21" s="1"/>
  <c r="CD29" i="21"/>
  <c r="CC29" i="21"/>
  <c r="CB29" i="21"/>
  <c r="BY29" i="21"/>
  <c r="BX29" i="21"/>
  <c r="BW29" i="21"/>
  <c r="BT29" i="21"/>
  <c r="BS29" i="21"/>
  <c r="BR29" i="21"/>
  <c r="BU29" i="21" s="1"/>
  <c r="BN29" i="21"/>
  <c r="BM29" i="21"/>
  <c r="BL29" i="21"/>
  <c r="BI29" i="21"/>
  <c r="BH29" i="21"/>
  <c r="BG29" i="21"/>
  <c r="BD29" i="21"/>
  <c r="BC29" i="21"/>
  <c r="BB29" i="21"/>
  <c r="AY29" i="21"/>
  <c r="AX29" i="21"/>
  <c r="AW29" i="21"/>
  <c r="AZ29" i="21" s="1"/>
  <c r="AS29" i="21"/>
  <c r="AR29" i="21"/>
  <c r="AQ29" i="21"/>
  <c r="AT29" i="21" s="1"/>
  <c r="AN29" i="21"/>
  <c r="AM29" i="21"/>
  <c r="AL29" i="21"/>
  <c r="AI29" i="21"/>
  <c r="AH29" i="21"/>
  <c r="AG29" i="21"/>
  <c r="AD29" i="21"/>
  <c r="AC29" i="21"/>
  <c r="AB29" i="21"/>
  <c r="AE29" i="21" s="1"/>
  <c r="X28" i="21"/>
  <c r="W28" i="21"/>
  <c r="V28" i="21"/>
  <c r="S28" i="21"/>
  <c r="R28" i="21"/>
  <c r="Q28" i="21"/>
  <c r="P28" i="21"/>
  <c r="X27" i="21"/>
  <c r="W27" i="21"/>
  <c r="V27" i="21"/>
  <c r="S27" i="21"/>
  <c r="R27" i="21"/>
  <c r="Q27" i="21"/>
  <c r="P27" i="21"/>
  <c r="X26" i="21"/>
  <c r="W26" i="21"/>
  <c r="V26" i="21"/>
  <c r="S26" i="21"/>
  <c r="R26" i="21"/>
  <c r="Q26" i="21"/>
  <c r="P26" i="21"/>
  <c r="N26" i="21"/>
  <c r="M26" i="21"/>
  <c r="L26" i="21"/>
  <c r="K26" i="21"/>
  <c r="X25" i="21"/>
  <c r="W25" i="21"/>
  <c r="V25" i="21"/>
  <c r="S25" i="21"/>
  <c r="R25" i="21"/>
  <c r="Q25" i="21"/>
  <c r="P25" i="21"/>
  <c r="N25" i="21"/>
  <c r="M25" i="21"/>
  <c r="L25" i="21"/>
  <c r="K25" i="21"/>
  <c r="X24" i="21"/>
  <c r="W24" i="21"/>
  <c r="V24" i="21"/>
  <c r="S24" i="21"/>
  <c r="R24" i="21"/>
  <c r="Q24" i="21"/>
  <c r="P24" i="21"/>
  <c r="N24" i="21"/>
  <c r="M24" i="21"/>
  <c r="L24" i="21"/>
  <c r="K24" i="21"/>
  <c r="AN23" i="21"/>
  <c r="AN26" i="21" s="1"/>
  <c r="AM23" i="21"/>
  <c r="AL23" i="21"/>
  <c r="AL26" i="21" s="1"/>
  <c r="X23" i="21"/>
  <c r="W23" i="21"/>
  <c r="V23" i="21"/>
  <c r="S23" i="21"/>
  <c r="R23" i="21"/>
  <c r="Q23" i="21"/>
  <c r="P23" i="21"/>
  <c r="N23" i="21"/>
  <c r="M23" i="21"/>
  <c r="L23" i="21"/>
  <c r="K23" i="21"/>
  <c r="X22" i="21"/>
  <c r="W22" i="21"/>
  <c r="V22" i="21"/>
  <c r="S22" i="21"/>
  <c r="R22" i="21"/>
  <c r="Q22" i="21"/>
  <c r="P22" i="21"/>
  <c r="N22" i="21"/>
  <c r="M22" i="21"/>
  <c r="L22" i="21"/>
  <c r="K22" i="21"/>
  <c r="I22" i="21"/>
  <c r="H22" i="21"/>
  <c r="AN22" i="21" s="1"/>
  <c r="AN25" i="21" s="1"/>
  <c r="AN28" i="21" s="1"/>
  <c r="X21" i="21"/>
  <c r="W21" i="21"/>
  <c r="V21" i="21"/>
  <c r="S21" i="21"/>
  <c r="R21" i="21"/>
  <c r="Q21" i="21"/>
  <c r="P21" i="21"/>
  <c r="N21" i="21"/>
  <c r="M21" i="21"/>
  <c r="L21" i="21"/>
  <c r="K21" i="21"/>
  <c r="I21" i="21"/>
  <c r="H21" i="21"/>
  <c r="CH15" i="21"/>
  <c r="CG15" i="21"/>
  <c r="CJ15" i="21" s="1"/>
  <c r="BX15" i="21"/>
  <c r="BS15" i="21"/>
  <c r="BR15" i="21"/>
  <c r="BH15" i="21"/>
  <c r="BC15" i="21"/>
  <c r="BB15" i="21"/>
  <c r="BE15" i="21" s="1"/>
  <c r="AX15" i="21"/>
  <c r="AW15" i="21"/>
  <c r="AR15" i="21"/>
  <c r="AM15" i="21"/>
  <c r="AI15" i="21"/>
  <c r="AH15" i="21"/>
  <c r="AG15" i="21"/>
  <c r="AJ15" i="21" s="1"/>
  <c r="AD15" i="21"/>
  <c r="AC15" i="21"/>
  <c r="AB15" i="21"/>
  <c r="S15" i="21"/>
  <c r="CI15" i="21" s="1"/>
  <c r="R15" i="21"/>
  <c r="CC15" i="21" s="1"/>
  <c r="Q15" i="21"/>
  <c r="BY15" i="21" s="1"/>
  <c r="P15" i="21"/>
  <c r="N15" i="21"/>
  <c r="M15" i="21"/>
  <c r="BI15" i="21" s="1"/>
  <c r="L15" i="21"/>
  <c r="BD15" i="21" s="1"/>
  <c r="K15" i="21"/>
  <c r="AY15" i="21" s="1"/>
  <c r="J15" i="21"/>
  <c r="I15" i="21"/>
  <c r="AS15" i="21" s="1"/>
  <c r="H15" i="21"/>
  <c r="AN15" i="21" s="1"/>
  <c r="AD14" i="21"/>
  <c r="F14" i="21"/>
  <c r="AI13" i="21"/>
  <c r="AH13" i="21"/>
  <c r="AG13" i="21"/>
  <c r="AJ13" i="21" s="1"/>
  <c r="AD13" i="21"/>
  <c r="AC13" i="21"/>
  <c r="AB13" i="21"/>
  <c r="AE13" i="21" s="1"/>
  <c r="X13" i="21"/>
  <c r="W13" i="21"/>
  <c r="V13" i="21"/>
  <c r="S13" i="21"/>
  <c r="CI13" i="21" s="1"/>
  <c r="R13" i="21"/>
  <c r="CD13" i="21" s="1"/>
  <c r="Q13" i="21"/>
  <c r="BY13" i="21" s="1"/>
  <c r="P13" i="21"/>
  <c r="N13" i="21"/>
  <c r="BN13" i="21" s="1"/>
  <c r="M13" i="21"/>
  <c r="BI13" i="21" s="1"/>
  <c r="L13" i="21"/>
  <c r="K13" i="21"/>
  <c r="AY13" i="21" s="1"/>
  <c r="I13" i="21"/>
  <c r="AS13" i="21" s="1"/>
  <c r="H13" i="21"/>
  <c r="AL13" i="21" s="1"/>
  <c r="CG12" i="21"/>
  <c r="BG12" i="21"/>
  <c r="AI12" i="21"/>
  <c r="AH12" i="21"/>
  <c r="AG12" i="21"/>
  <c r="AJ12" i="21" s="1"/>
  <c r="AD12" i="21"/>
  <c r="AC12" i="21"/>
  <c r="AB12" i="21"/>
  <c r="AE12" i="21" s="1"/>
  <c r="X12" i="21"/>
  <c r="W12" i="21"/>
  <c r="V12" i="21"/>
  <c r="S12" i="21"/>
  <c r="CI12" i="21" s="1"/>
  <c r="R12" i="21"/>
  <c r="CD12" i="21" s="1"/>
  <c r="Q12" i="21"/>
  <c r="BY12" i="21" s="1"/>
  <c r="P12" i="21"/>
  <c r="BR12" i="21" s="1"/>
  <c r="N12" i="21"/>
  <c r="BN12" i="21" s="1"/>
  <c r="M12" i="21"/>
  <c r="BI12" i="21" s="1"/>
  <c r="L12" i="21"/>
  <c r="K12" i="21"/>
  <c r="AY12" i="21" s="1"/>
  <c r="I12" i="21"/>
  <c r="AS12" i="21" s="1"/>
  <c r="H12" i="21"/>
  <c r="AL12" i="21" s="1"/>
  <c r="CB11" i="21"/>
  <c r="AI11" i="21"/>
  <c r="AH11" i="21"/>
  <c r="AG11" i="21"/>
  <c r="AJ11" i="21" s="1"/>
  <c r="AD11" i="21"/>
  <c r="AC11" i="21"/>
  <c r="AB11" i="21"/>
  <c r="AE11" i="21" s="1"/>
  <c r="X11" i="21"/>
  <c r="W11" i="21"/>
  <c r="V11" i="21"/>
  <c r="S11" i="21"/>
  <c r="CI11" i="21" s="1"/>
  <c r="R11" i="21"/>
  <c r="CD11" i="21" s="1"/>
  <c r="Q11" i="21"/>
  <c r="BY11" i="21" s="1"/>
  <c r="P11" i="21"/>
  <c r="BR11" i="21" s="1"/>
  <c r="N11" i="21"/>
  <c r="BN11" i="21" s="1"/>
  <c r="M11" i="21"/>
  <c r="BI11" i="21" s="1"/>
  <c r="L11" i="21"/>
  <c r="BB11" i="21" s="1"/>
  <c r="K11" i="21"/>
  <c r="AY11" i="21" s="1"/>
  <c r="I11" i="21"/>
  <c r="AS11" i="21" s="1"/>
  <c r="H11" i="21"/>
  <c r="AL11" i="21" s="1"/>
  <c r="CG10" i="21"/>
  <c r="CB10" i="21"/>
  <c r="BW10" i="21"/>
  <c r="BL10" i="21"/>
  <c r="BG10" i="21"/>
  <c r="BB10" i="21"/>
  <c r="AW10" i="21"/>
  <c r="AQ10" i="21"/>
  <c r="AI10" i="21"/>
  <c r="AH10" i="21"/>
  <c r="AG10" i="21"/>
  <c r="AJ10" i="21" s="1"/>
  <c r="AD10" i="21"/>
  <c r="AC10" i="21"/>
  <c r="AB10" i="21"/>
  <c r="AE10" i="21" s="1"/>
  <c r="X10" i="21"/>
  <c r="W10" i="21"/>
  <c r="V10" i="21"/>
  <c r="T10" i="21"/>
  <c r="S10" i="21"/>
  <c r="CI10" i="21" s="1"/>
  <c r="R10" i="21"/>
  <c r="CD10" i="21" s="1"/>
  <c r="Q10" i="21"/>
  <c r="BY10" i="21" s="1"/>
  <c r="P10" i="21"/>
  <c r="N10" i="21"/>
  <c r="BN10" i="21" s="1"/>
  <c r="M10" i="21"/>
  <c r="BI10" i="21" s="1"/>
  <c r="L10" i="21"/>
  <c r="K10" i="21"/>
  <c r="AY10" i="21" s="1"/>
  <c r="I10" i="21"/>
  <c r="AS10" i="21" s="1"/>
  <c r="H10" i="21"/>
  <c r="CB9" i="21"/>
  <c r="BW9" i="21"/>
  <c r="BL9" i="21"/>
  <c r="BG9" i="21"/>
  <c r="BB9" i="21"/>
  <c r="AQ9" i="21"/>
  <c r="AI9" i="21"/>
  <c r="AH9" i="21"/>
  <c r="AG9" i="21"/>
  <c r="AJ9" i="21" s="1"/>
  <c r="AD9" i="21"/>
  <c r="AC9" i="21"/>
  <c r="AB9" i="21"/>
  <c r="AE9" i="21" s="1"/>
  <c r="X9" i="21"/>
  <c r="W9" i="21"/>
  <c r="V9" i="21"/>
  <c r="T9" i="21"/>
  <c r="S9" i="21"/>
  <c r="CG9" i="21" s="1"/>
  <c r="R9" i="21"/>
  <c r="CD9" i="21" s="1"/>
  <c r="Q9" i="21"/>
  <c r="BY9" i="21" s="1"/>
  <c r="P9" i="21"/>
  <c r="N9" i="21"/>
  <c r="BN9" i="21" s="1"/>
  <c r="M9" i="21"/>
  <c r="BI9" i="21" s="1"/>
  <c r="L9" i="21"/>
  <c r="K9" i="21"/>
  <c r="AW9" i="21" s="1"/>
  <c r="I9" i="21"/>
  <c r="AS9" i="21" s="1"/>
  <c r="H9" i="21"/>
  <c r="AL9" i="21" s="1"/>
  <c r="Z8" i="21"/>
  <c r="AT7" i="21"/>
  <c r="AS7" i="21"/>
  <c r="AR7" i="21"/>
  <c r="AQ7" i="21"/>
  <c r="AO7" i="21"/>
  <c r="AN7" i="21"/>
  <c r="AM7" i="21"/>
  <c r="AL7" i="21"/>
  <c r="AJ7" i="21"/>
  <c r="AI7" i="21"/>
  <c r="AH7" i="21"/>
  <c r="AG7" i="21"/>
  <c r="AE7" i="21"/>
  <c r="AD7" i="21"/>
  <c r="AC7" i="21"/>
  <c r="AB7" i="21"/>
  <c r="J7" i="21"/>
  <c r="AI6" i="21"/>
  <c r="AH6" i="21"/>
  <c r="AJ6" i="21" s="1"/>
  <c r="AG6" i="21"/>
  <c r="AD6" i="21"/>
  <c r="AC6" i="21"/>
  <c r="AB6" i="21"/>
  <c r="AE6" i="21" s="1"/>
  <c r="AM5" i="21"/>
  <c r="AI5" i="21"/>
  <c r="AH5" i="21"/>
  <c r="AJ5" i="21" s="1"/>
  <c r="AG5" i="21"/>
  <c r="AD5" i="21"/>
  <c r="AC5" i="21"/>
  <c r="AB5" i="21"/>
  <c r="AE5" i="21" s="1"/>
  <c r="I5" i="21"/>
  <c r="K5" i="21" s="1"/>
  <c r="H5" i="21"/>
  <c r="AN5" i="21" s="1"/>
  <c r="AH4" i="21"/>
  <c r="AC4" i="21"/>
  <c r="G4" i="21"/>
  <c r="AI4" i="21" s="1"/>
  <c r="F4" i="21"/>
  <c r="AD4" i="21" s="1"/>
  <c r="W24" i="3"/>
  <c r="W26" i="3"/>
  <c r="W25" i="3"/>
  <c r="W23" i="3"/>
  <c r="W22" i="3"/>
  <c r="W21" i="3"/>
  <c r="U26" i="3"/>
  <c r="U25" i="3"/>
  <c r="U24" i="3"/>
  <c r="U23" i="3"/>
  <c r="U22" i="3"/>
  <c r="U21" i="3"/>
  <c r="I34" i="20"/>
  <c r="K34" i="20" s="1"/>
  <c r="L34" i="20" s="1"/>
  <c r="M34" i="20" s="1"/>
  <c r="N34" i="20" s="1"/>
  <c r="CI46" i="20"/>
  <c r="CJ46" i="20" s="1"/>
  <c r="CH46" i="20"/>
  <c r="CG46" i="20"/>
  <c r="CD46" i="20"/>
  <c r="CC46" i="20"/>
  <c r="CB46" i="20"/>
  <c r="CE46" i="20" s="1"/>
  <c r="BY46" i="20"/>
  <c r="BZ46" i="20" s="1"/>
  <c r="BX46" i="20"/>
  <c r="BW46" i="20"/>
  <c r="BT46" i="20"/>
  <c r="BS46" i="20"/>
  <c r="BR46" i="20"/>
  <c r="BU46" i="20" s="1"/>
  <c r="BN46" i="20"/>
  <c r="BO46" i="20" s="1"/>
  <c r="BM46" i="20"/>
  <c r="BL46" i="20"/>
  <c r="BI46" i="20"/>
  <c r="BH46" i="20"/>
  <c r="BG46" i="20"/>
  <c r="BJ46" i="20" s="1"/>
  <c r="BE46" i="20"/>
  <c r="BD46" i="20"/>
  <c r="BC46" i="20"/>
  <c r="BB46" i="20"/>
  <c r="AD46" i="20"/>
  <c r="AC46" i="20"/>
  <c r="AB46" i="20"/>
  <c r="AE46" i="20" s="1"/>
  <c r="T46" i="20"/>
  <c r="K46" i="20"/>
  <c r="AX46" i="20" s="1"/>
  <c r="I46" i="20"/>
  <c r="AR46" i="20" s="1"/>
  <c r="H46" i="20"/>
  <c r="AN46" i="20" s="1"/>
  <c r="G46" i="20"/>
  <c r="AH46" i="20" s="1"/>
  <c r="AI45" i="20"/>
  <c r="AH45" i="20"/>
  <c r="AJ45" i="20" s="1"/>
  <c r="AG45" i="20"/>
  <c r="AD45" i="20"/>
  <c r="AC45" i="20"/>
  <c r="AB45" i="20"/>
  <c r="AE45" i="20" s="1"/>
  <c r="AI44" i="20"/>
  <c r="AH44" i="20"/>
  <c r="AJ44" i="20" s="1"/>
  <c r="AG44" i="20"/>
  <c r="AD44" i="20"/>
  <c r="AC44" i="20"/>
  <c r="AB44" i="20"/>
  <c r="AE44" i="20" s="1"/>
  <c r="H44" i="20"/>
  <c r="AN44" i="20" s="1"/>
  <c r="AI43" i="20"/>
  <c r="AH43" i="20"/>
  <c r="AJ43" i="20" s="1"/>
  <c r="AG43" i="20"/>
  <c r="AD43" i="20"/>
  <c r="AC43" i="20"/>
  <c r="AE43" i="20" s="1"/>
  <c r="AB43" i="20"/>
  <c r="Z43" i="20"/>
  <c r="Z42" i="20"/>
  <c r="F41" i="20"/>
  <c r="AB41" i="20" s="1"/>
  <c r="AD40" i="20"/>
  <c r="AC40" i="20"/>
  <c r="AB40" i="20"/>
  <c r="AE40" i="20" s="1"/>
  <c r="AD39" i="20"/>
  <c r="AC39" i="20"/>
  <c r="AB39" i="20"/>
  <c r="AE39" i="20" s="1"/>
  <c r="S38" i="20"/>
  <c r="CG38" i="20" s="1"/>
  <c r="R38" i="20"/>
  <c r="CD38" i="20" s="1"/>
  <c r="Q38" i="20"/>
  <c r="BW38" i="20" s="1"/>
  <c r="P38" i="20"/>
  <c r="BT38" i="20" s="1"/>
  <c r="N38" i="20"/>
  <c r="BL38" i="20" s="1"/>
  <c r="M38" i="20"/>
  <c r="BI38" i="20" s="1"/>
  <c r="L38" i="20"/>
  <c r="BB38" i="20" s="1"/>
  <c r="K38" i="20"/>
  <c r="AY38" i="20" s="1"/>
  <c r="I38" i="20"/>
  <c r="AQ38" i="20" s="1"/>
  <c r="H38" i="20"/>
  <c r="AN38" i="20" s="1"/>
  <c r="G38" i="20"/>
  <c r="AG38" i="20" s="1"/>
  <c r="F38" i="20"/>
  <c r="AD38" i="20" s="1"/>
  <c r="AH36" i="20"/>
  <c r="Z36" i="20"/>
  <c r="G36" i="20"/>
  <c r="AI36" i="20" s="1"/>
  <c r="F36" i="20"/>
  <c r="AB36" i="20" s="1"/>
  <c r="AH35" i="20"/>
  <c r="AG35" i="20"/>
  <c r="AJ35" i="20" s="1"/>
  <c r="G35" i="20"/>
  <c r="AI35" i="20" s="1"/>
  <c r="F35" i="20"/>
  <c r="AD35" i="20" s="1"/>
  <c r="AJ34" i="20"/>
  <c r="AI34" i="20"/>
  <c r="AH34" i="20"/>
  <c r="AG34" i="20"/>
  <c r="AD34" i="20"/>
  <c r="AC34" i="20"/>
  <c r="AB34" i="20"/>
  <c r="AE34" i="20" s="1"/>
  <c r="Z34" i="20"/>
  <c r="AC33" i="20"/>
  <c r="AB33" i="20"/>
  <c r="Z33" i="20"/>
  <c r="Z47" i="20" s="1"/>
  <c r="Z49" i="20" s="1"/>
  <c r="G33" i="20"/>
  <c r="AI33" i="20" s="1"/>
  <c r="F33" i="20"/>
  <c r="AD33" i="20" s="1"/>
  <c r="CI29" i="20"/>
  <c r="CH29" i="20"/>
  <c r="CG29" i="20"/>
  <c r="CJ29" i="20" s="1"/>
  <c r="CD29" i="20"/>
  <c r="CC29" i="20"/>
  <c r="CB29" i="20"/>
  <c r="CE29" i="20" s="1"/>
  <c r="BY29" i="20"/>
  <c r="BX29" i="20"/>
  <c r="BW29" i="20"/>
  <c r="BZ29" i="20" s="1"/>
  <c r="BT29" i="20"/>
  <c r="BS29" i="20"/>
  <c r="BR29" i="20"/>
  <c r="BU29" i="20" s="1"/>
  <c r="BN29" i="20"/>
  <c r="BM29" i="20"/>
  <c r="BL29" i="20"/>
  <c r="BO29" i="20" s="1"/>
  <c r="BI29" i="20"/>
  <c r="BH29" i="20"/>
  <c r="BG29" i="20"/>
  <c r="BJ29" i="20" s="1"/>
  <c r="BD29" i="20"/>
  <c r="BC29" i="20"/>
  <c r="BB29" i="20"/>
  <c r="BE29" i="20" s="1"/>
  <c r="AY29" i="20"/>
  <c r="AX29" i="20"/>
  <c r="AW29" i="20"/>
  <c r="AZ29" i="20" s="1"/>
  <c r="AS29" i="20"/>
  <c r="AR29" i="20"/>
  <c r="AQ29" i="20"/>
  <c r="AT29" i="20" s="1"/>
  <c r="AN29" i="20"/>
  <c r="AM29" i="20"/>
  <c r="AL29" i="20"/>
  <c r="AO29" i="20" s="1"/>
  <c r="AI29" i="20"/>
  <c r="AH29" i="20"/>
  <c r="AG29" i="20"/>
  <c r="AJ29" i="20" s="1"/>
  <c r="AD29" i="20"/>
  <c r="AC29" i="20"/>
  <c r="AB29" i="20"/>
  <c r="AE29" i="20" s="1"/>
  <c r="X28" i="20"/>
  <c r="W28" i="20"/>
  <c r="V28" i="20"/>
  <c r="S28" i="20"/>
  <c r="R28" i="20"/>
  <c r="Q28" i="20"/>
  <c r="P28" i="20"/>
  <c r="X27" i="20"/>
  <c r="W27" i="20"/>
  <c r="V27" i="20"/>
  <c r="S27" i="20"/>
  <c r="R27" i="20"/>
  <c r="Q27" i="20"/>
  <c r="P27" i="20"/>
  <c r="X26" i="20"/>
  <c r="W26" i="20"/>
  <c r="V26" i="20"/>
  <c r="S26" i="20"/>
  <c r="R26" i="20"/>
  <c r="Q26" i="20"/>
  <c r="P26" i="20"/>
  <c r="N26" i="20"/>
  <c r="M26" i="20"/>
  <c r="L26" i="20"/>
  <c r="K26" i="20"/>
  <c r="X25" i="20"/>
  <c r="W25" i="20"/>
  <c r="V25" i="20"/>
  <c r="S25" i="20"/>
  <c r="R25" i="20"/>
  <c r="Q25" i="20"/>
  <c r="P25" i="20"/>
  <c r="N25" i="20"/>
  <c r="M25" i="20"/>
  <c r="L25" i="20"/>
  <c r="K25" i="20"/>
  <c r="X24" i="20"/>
  <c r="W24" i="20"/>
  <c r="V24" i="20"/>
  <c r="S24" i="20"/>
  <c r="R24" i="20"/>
  <c r="Q24" i="20"/>
  <c r="P24" i="20"/>
  <c r="N24" i="20"/>
  <c r="M24" i="20"/>
  <c r="L24" i="20"/>
  <c r="K24" i="20"/>
  <c r="AN23" i="20"/>
  <c r="AN26" i="20" s="1"/>
  <c r="AM23" i="20"/>
  <c r="AM26" i="20" s="1"/>
  <c r="AL23" i="20"/>
  <c r="AL26" i="20" s="1"/>
  <c r="X23" i="20"/>
  <c r="W23" i="20"/>
  <c r="V23" i="20"/>
  <c r="S23" i="20"/>
  <c r="R23" i="20"/>
  <c r="Q23" i="20"/>
  <c r="P23" i="20"/>
  <c r="N23" i="20"/>
  <c r="M23" i="20"/>
  <c r="L23" i="20"/>
  <c r="K23" i="20"/>
  <c r="X22" i="20"/>
  <c r="W22" i="20"/>
  <c r="V22" i="20"/>
  <c r="S22" i="20"/>
  <c r="R22" i="20"/>
  <c r="Q22" i="20"/>
  <c r="P22" i="20"/>
  <c r="N22" i="20"/>
  <c r="M22" i="20"/>
  <c r="L22" i="20"/>
  <c r="K22" i="20"/>
  <c r="I22" i="20"/>
  <c r="H22" i="20"/>
  <c r="AN22" i="20" s="1"/>
  <c r="AN25" i="20" s="1"/>
  <c r="AN28" i="20" s="1"/>
  <c r="X21" i="20"/>
  <c r="W21" i="20"/>
  <c r="V21" i="20"/>
  <c r="S21" i="20"/>
  <c r="R21" i="20"/>
  <c r="Q21" i="20"/>
  <c r="P21" i="20"/>
  <c r="N21" i="20"/>
  <c r="M21" i="20"/>
  <c r="L21" i="20"/>
  <c r="K21" i="20"/>
  <c r="I21" i="20"/>
  <c r="H21" i="20"/>
  <c r="AI15" i="20"/>
  <c r="AH15" i="20"/>
  <c r="AG15" i="20"/>
  <c r="AJ15" i="20" s="1"/>
  <c r="AD15" i="20"/>
  <c r="AC15" i="20"/>
  <c r="AB15" i="20"/>
  <c r="AE15" i="20" s="1"/>
  <c r="S15" i="20"/>
  <c r="CI15" i="20" s="1"/>
  <c r="R15" i="20"/>
  <c r="CD15" i="20" s="1"/>
  <c r="Q15" i="20"/>
  <c r="BY15" i="20" s="1"/>
  <c r="P15" i="20"/>
  <c r="N15" i="20"/>
  <c r="BN15" i="20" s="1"/>
  <c r="M15" i="20"/>
  <c r="BI15" i="20" s="1"/>
  <c r="L15" i="20"/>
  <c r="BC15" i="20" s="1"/>
  <c r="K15" i="20"/>
  <c r="AY15" i="20" s="1"/>
  <c r="I15" i="20"/>
  <c r="AS15" i="20" s="1"/>
  <c r="H15" i="20"/>
  <c r="F14" i="20"/>
  <c r="AD14" i="20" s="1"/>
  <c r="AJ13" i="20"/>
  <c r="AI13" i="20"/>
  <c r="AH13" i="20"/>
  <c r="AG13" i="20"/>
  <c r="AD13" i="20"/>
  <c r="AC13" i="20"/>
  <c r="AB13" i="20"/>
  <c r="AE13" i="20" s="1"/>
  <c r="X13" i="20"/>
  <c r="W13" i="20"/>
  <c r="V13" i="20"/>
  <c r="S13" i="20"/>
  <c r="CI13" i="20" s="1"/>
  <c r="R13" i="20"/>
  <c r="CD13" i="20" s="1"/>
  <c r="Q13" i="20"/>
  <c r="BY13" i="20" s="1"/>
  <c r="P13" i="20"/>
  <c r="N13" i="20"/>
  <c r="BN13" i="20" s="1"/>
  <c r="M13" i="20"/>
  <c r="BI13" i="20" s="1"/>
  <c r="L13" i="20"/>
  <c r="BD13" i="20" s="1"/>
  <c r="K13" i="20"/>
  <c r="AY13" i="20" s="1"/>
  <c r="I13" i="20"/>
  <c r="AS13" i="20" s="1"/>
  <c r="H13" i="20"/>
  <c r="AN13" i="20" s="1"/>
  <c r="AJ12" i="20"/>
  <c r="AI12" i="20"/>
  <c r="AH12" i="20"/>
  <c r="AG12" i="20"/>
  <c r="AD12" i="20"/>
  <c r="AC12" i="20"/>
  <c r="AB12" i="20"/>
  <c r="AE12" i="20" s="1"/>
  <c r="X12" i="20"/>
  <c r="W12" i="20"/>
  <c r="V12" i="20"/>
  <c r="S12" i="20"/>
  <c r="CI12" i="20" s="1"/>
  <c r="R12" i="20"/>
  <c r="CD12" i="20" s="1"/>
  <c r="Q12" i="20"/>
  <c r="BY12" i="20" s="1"/>
  <c r="P12" i="20"/>
  <c r="N12" i="20"/>
  <c r="BN12" i="20" s="1"/>
  <c r="M12" i="20"/>
  <c r="BI12" i="20" s="1"/>
  <c r="L12" i="20"/>
  <c r="BD12" i="20" s="1"/>
  <c r="K12" i="20"/>
  <c r="AY12" i="20" s="1"/>
  <c r="I12" i="20"/>
  <c r="AS12" i="20" s="1"/>
  <c r="H12" i="20"/>
  <c r="AN12" i="20" s="1"/>
  <c r="AJ11" i="20"/>
  <c r="AI11" i="20"/>
  <c r="AH11" i="20"/>
  <c r="AG11" i="20"/>
  <c r="AD11" i="20"/>
  <c r="AC11" i="20"/>
  <c r="AB11" i="20"/>
  <c r="AE11" i="20" s="1"/>
  <c r="X11" i="20"/>
  <c r="W11" i="20"/>
  <c r="V11" i="20"/>
  <c r="S11" i="20"/>
  <c r="CI11" i="20" s="1"/>
  <c r="R11" i="20"/>
  <c r="CD11" i="20" s="1"/>
  <c r="Q11" i="20"/>
  <c r="BY11" i="20" s="1"/>
  <c r="P11" i="20"/>
  <c r="N11" i="20"/>
  <c r="BN11" i="20" s="1"/>
  <c r="M11" i="20"/>
  <c r="BI11" i="20" s="1"/>
  <c r="L11" i="20"/>
  <c r="BD11" i="20" s="1"/>
  <c r="K11" i="20"/>
  <c r="AY11" i="20" s="1"/>
  <c r="I11" i="20"/>
  <c r="AS11" i="20" s="1"/>
  <c r="H11" i="20"/>
  <c r="AN11" i="20" s="1"/>
  <c r="AJ10" i="20"/>
  <c r="AI10" i="20"/>
  <c r="AH10" i="20"/>
  <c r="AG10" i="20"/>
  <c r="AD10" i="20"/>
  <c r="AC10" i="20"/>
  <c r="AB10" i="20"/>
  <c r="AE10" i="20" s="1"/>
  <c r="X10" i="20"/>
  <c r="W10" i="20"/>
  <c r="V10" i="20"/>
  <c r="S10" i="20"/>
  <c r="CI10" i="20" s="1"/>
  <c r="R10" i="20"/>
  <c r="CD10" i="20" s="1"/>
  <c r="Q10" i="20"/>
  <c r="BY10" i="20" s="1"/>
  <c r="P10" i="20"/>
  <c r="N10" i="20"/>
  <c r="BN10" i="20" s="1"/>
  <c r="M10" i="20"/>
  <c r="BI10" i="20" s="1"/>
  <c r="L10" i="20"/>
  <c r="BD10" i="20" s="1"/>
  <c r="K10" i="20"/>
  <c r="AW10" i="20" s="1"/>
  <c r="I10" i="20"/>
  <c r="AS10" i="20" s="1"/>
  <c r="H10" i="20"/>
  <c r="AL10" i="20" s="1"/>
  <c r="AJ9" i="20"/>
  <c r="AI9" i="20"/>
  <c r="AH9" i="20"/>
  <c r="AG9" i="20"/>
  <c r="AE9" i="20"/>
  <c r="AD9" i="20"/>
  <c r="AC9" i="20"/>
  <c r="AB9" i="20"/>
  <c r="X9" i="20"/>
  <c r="W9" i="20"/>
  <c r="V9" i="20"/>
  <c r="S9" i="20"/>
  <c r="R9" i="20"/>
  <c r="CB9" i="20" s="1"/>
  <c r="Q9" i="20"/>
  <c r="BW9" i="20" s="1"/>
  <c r="P9" i="20"/>
  <c r="N9" i="20"/>
  <c r="BL9" i="20" s="1"/>
  <c r="M9" i="20"/>
  <c r="BG9" i="20" s="1"/>
  <c r="L9" i="20"/>
  <c r="BB9" i="20" s="1"/>
  <c r="K9" i="20"/>
  <c r="AY9" i="20" s="1"/>
  <c r="I9" i="20"/>
  <c r="AQ9" i="20" s="1"/>
  <c r="H9" i="20"/>
  <c r="AN9" i="20" s="1"/>
  <c r="Z8" i="20"/>
  <c r="AS7" i="20"/>
  <c r="AT7" i="20" s="1"/>
  <c r="AR7" i="20"/>
  <c r="AQ7" i="20"/>
  <c r="AN7" i="20"/>
  <c r="AM7" i="20"/>
  <c r="AL7" i="20"/>
  <c r="AO7" i="20" s="1"/>
  <c r="AI7" i="20"/>
  <c r="AJ7" i="20" s="1"/>
  <c r="AH7" i="20"/>
  <c r="AG7" i="20"/>
  <c r="AD7" i="20"/>
  <c r="AC7" i="20"/>
  <c r="AB7" i="20"/>
  <c r="AE7" i="20" s="1"/>
  <c r="J7" i="20"/>
  <c r="AI6" i="20"/>
  <c r="AH6" i="20"/>
  <c r="AG6" i="20"/>
  <c r="AJ6" i="20" s="1"/>
  <c r="AD6" i="20"/>
  <c r="AC6" i="20"/>
  <c r="AB6" i="20"/>
  <c r="AE6" i="20" s="1"/>
  <c r="AI5" i="20"/>
  <c r="AH5" i="20"/>
  <c r="AG5" i="20"/>
  <c r="AJ5" i="20" s="1"/>
  <c r="AD5" i="20"/>
  <c r="AC5" i="20"/>
  <c r="AB5" i="20"/>
  <c r="AE5" i="20" s="1"/>
  <c r="H5" i="20"/>
  <c r="AN5" i="20" s="1"/>
  <c r="AI4" i="20"/>
  <c r="AH4" i="20"/>
  <c r="AG4" i="20"/>
  <c r="AJ4" i="20" s="1"/>
  <c r="AB4" i="20"/>
  <c r="H4" i="20"/>
  <c r="AN4" i="20" s="1"/>
  <c r="G4" i="20"/>
  <c r="F4" i="20"/>
  <c r="AD4" i="20" s="1"/>
  <c r="CI46" i="18"/>
  <c r="CH46" i="18"/>
  <c r="CG46" i="18"/>
  <c r="CJ46" i="18" s="1"/>
  <c r="CD46" i="18"/>
  <c r="CC46" i="18"/>
  <c r="CB46" i="18"/>
  <c r="CE46" i="18" s="1"/>
  <c r="BY46" i="18"/>
  <c r="BX46" i="18"/>
  <c r="BW46" i="18"/>
  <c r="BZ46" i="18" s="1"/>
  <c r="BT46" i="18"/>
  <c r="BS46" i="18"/>
  <c r="BR46" i="18"/>
  <c r="BU46" i="18" s="1"/>
  <c r="BN46" i="18"/>
  <c r="BM46" i="18"/>
  <c r="BL46" i="18"/>
  <c r="BO46" i="18" s="1"/>
  <c r="BI46" i="18"/>
  <c r="BH46" i="18"/>
  <c r="BG46" i="18"/>
  <c r="BJ46" i="18" s="1"/>
  <c r="BD46" i="18"/>
  <c r="BC46" i="18"/>
  <c r="BB46" i="18"/>
  <c r="BE46" i="18" s="1"/>
  <c r="AY46" i="18"/>
  <c r="AW46" i="18"/>
  <c r="AZ46" i="18" s="1"/>
  <c r="AS46" i="18"/>
  <c r="AQ46" i="18"/>
  <c r="AL46" i="18"/>
  <c r="AI46" i="18"/>
  <c r="AG46" i="18"/>
  <c r="AD46" i="18"/>
  <c r="AC46" i="18"/>
  <c r="AB46" i="18"/>
  <c r="AE46" i="18" s="1"/>
  <c r="T46" i="18"/>
  <c r="O46" i="18"/>
  <c r="K46" i="18"/>
  <c r="AX46" i="18" s="1"/>
  <c r="J46" i="18"/>
  <c r="I46" i="18"/>
  <c r="AR46" i="18" s="1"/>
  <c r="H46" i="18"/>
  <c r="AN46" i="18" s="1"/>
  <c r="G46" i="18"/>
  <c r="AH46" i="18" s="1"/>
  <c r="AJ45" i="18"/>
  <c r="AI45" i="18"/>
  <c r="AH45" i="18"/>
  <c r="AG45" i="18"/>
  <c r="AE45" i="18"/>
  <c r="AD45" i="18"/>
  <c r="AC45" i="18"/>
  <c r="AB45" i="18"/>
  <c r="AS44" i="18"/>
  <c r="AR44" i="18"/>
  <c r="AM44" i="18"/>
  <c r="AJ44" i="18"/>
  <c r="AI44" i="18"/>
  <c r="AH44" i="18"/>
  <c r="AG44" i="18"/>
  <c r="AE44" i="18"/>
  <c r="AD44" i="18"/>
  <c r="AC44" i="18"/>
  <c r="AB44" i="18"/>
  <c r="K44" i="18"/>
  <c r="I44" i="18"/>
  <c r="AQ44" i="18" s="1"/>
  <c r="AT44" i="18" s="1"/>
  <c r="H44" i="18"/>
  <c r="AN44" i="18" s="1"/>
  <c r="AJ43" i="18"/>
  <c r="AI43" i="18"/>
  <c r="AH43" i="18"/>
  <c r="AG43" i="18"/>
  <c r="AE43" i="18"/>
  <c r="AD43" i="18"/>
  <c r="AC43" i="18"/>
  <c r="AB43" i="18"/>
  <c r="Z43" i="18"/>
  <c r="Z42" i="18"/>
  <c r="AD41" i="18"/>
  <c r="F41" i="18"/>
  <c r="AB41" i="18" s="1"/>
  <c r="AD40" i="18"/>
  <c r="AC40" i="18"/>
  <c r="AE40" i="18" s="1"/>
  <c r="AB40" i="18"/>
  <c r="AD39" i="18"/>
  <c r="AC39" i="18"/>
  <c r="AB39" i="18"/>
  <c r="BY38" i="18"/>
  <c r="BD38" i="18"/>
  <c r="AS38" i="18"/>
  <c r="W38" i="18"/>
  <c r="S38" i="18"/>
  <c r="R38" i="18"/>
  <c r="CD38" i="18" s="1"/>
  <c r="Q38" i="18"/>
  <c r="BW38" i="18" s="1"/>
  <c r="P38" i="18"/>
  <c r="BT38" i="18" s="1"/>
  <c r="N38" i="18"/>
  <c r="M38" i="18"/>
  <c r="BI38" i="18" s="1"/>
  <c r="L38" i="18"/>
  <c r="BB38" i="18" s="1"/>
  <c r="K38" i="18"/>
  <c r="I38" i="18"/>
  <c r="AQ38" i="18" s="1"/>
  <c r="H38" i="18"/>
  <c r="AN38" i="18" s="1"/>
  <c r="G38" i="18"/>
  <c r="F38" i="18"/>
  <c r="AD36" i="18"/>
  <c r="Z36" i="18"/>
  <c r="G36" i="18"/>
  <c r="AI36" i="18" s="1"/>
  <c r="F36" i="18"/>
  <c r="AC36" i="18" s="1"/>
  <c r="G35" i="18"/>
  <c r="AG35" i="18" s="1"/>
  <c r="F35" i="18"/>
  <c r="AD35" i="18" s="1"/>
  <c r="AI34" i="18"/>
  <c r="AH34" i="18"/>
  <c r="AG34" i="18"/>
  <c r="AJ34" i="18" s="1"/>
  <c r="AD34" i="18"/>
  <c r="AC34" i="18"/>
  <c r="AB34" i="18"/>
  <c r="AE34" i="18" s="1"/>
  <c r="Z34" i="18"/>
  <c r="AH33" i="18"/>
  <c r="AG33" i="18"/>
  <c r="AC33" i="18"/>
  <c r="Z33" i="18"/>
  <c r="G33" i="18"/>
  <c r="AI33" i="18" s="1"/>
  <c r="F33" i="18"/>
  <c r="CI29" i="18"/>
  <c r="CH29" i="18"/>
  <c r="CJ29" i="18" s="1"/>
  <c r="CG29" i="18"/>
  <c r="CD29" i="18"/>
  <c r="CC29" i="18"/>
  <c r="CB29" i="18"/>
  <c r="BY29" i="18"/>
  <c r="BX29" i="18"/>
  <c r="BW29" i="18"/>
  <c r="BT29" i="18"/>
  <c r="BS29" i="18"/>
  <c r="BR29" i="18"/>
  <c r="BN29" i="18"/>
  <c r="BM29" i="18"/>
  <c r="BO29" i="18" s="1"/>
  <c r="BL29" i="18"/>
  <c r="BI29" i="18"/>
  <c r="BH29" i="18"/>
  <c r="BJ29" i="18" s="1"/>
  <c r="BG29" i="18"/>
  <c r="BD29" i="18"/>
  <c r="BC29" i="18"/>
  <c r="BB29" i="18"/>
  <c r="AY29" i="18"/>
  <c r="AX29" i="18"/>
  <c r="AW29" i="18"/>
  <c r="AS29" i="18"/>
  <c r="AR29" i="18"/>
  <c r="AT29" i="18" s="1"/>
  <c r="AQ29" i="18"/>
  <c r="AN29" i="18"/>
  <c r="AM29" i="18"/>
  <c r="AL29" i="18"/>
  <c r="AI29" i="18"/>
  <c r="AH29" i="18"/>
  <c r="AG29" i="18"/>
  <c r="AD29" i="18"/>
  <c r="AC29" i="18"/>
  <c r="AB29" i="18"/>
  <c r="X28" i="18"/>
  <c r="W28" i="18"/>
  <c r="V28" i="18"/>
  <c r="S28" i="18"/>
  <c r="R28" i="18"/>
  <c r="Q28" i="18"/>
  <c r="P28" i="18"/>
  <c r="X27" i="18"/>
  <c r="W27" i="18"/>
  <c r="V27" i="18"/>
  <c r="S27" i="18"/>
  <c r="R27" i="18"/>
  <c r="Q27" i="18"/>
  <c r="P27" i="18"/>
  <c r="AN26" i="18"/>
  <c r="X26" i="18"/>
  <c r="W26" i="18"/>
  <c r="V26" i="18"/>
  <c r="S26" i="18"/>
  <c r="R26" i="18"/>
  <c r="Q26" i="18"/>
  <c r="P26" i="18"/>
  <c r="N26" i="18"/>
  <c r="M26" i="18"/>
  <c r="L26" i="18"/>
  <c r="K26" i="18"/>
  <c r="X25" i="18"/>
  <c r="W25" i="18"/>
  <c r="V25" i="18"/>
  <c r="S25" i="18"/>
  <c r="R25" i="18"/>
  <c r="Q25" i="18"/>
  <c r="P25" i="18"/>
  <c r="N25" i="18"/>
  <c r="M25" i="18"/>
  <c r="L25" i="18"/>
  <c r="K25" i="18"/>
  <c r="X24" i="18"/>
  <c r="W24" i="18"/>
  <c r="V24" i="18"/>
  <c r="S24" i="18"/>
  <c r="R24" i="18"/>
  <c r="Q24" i="18"/>
  <c r="P24" i="18"/>
  <c r="N24" i="18"/>
  <c r="M24" i="18"/>
  <c r="L24" i="18"/>
  <c r="K24" i="18"/>
  <c r="AN23" i="18"/>
  <c r="AM23" i="18"/>
  <c r="AM26" i="18" s="1"/>
  <c r="AL23" i="18"/>
  <c r="X23" i="18"/>
  <c r="W23" i="18"/>
  <c r="V23" i="18"/>
  <c r="S23" i="18"/>
  <c r="R23" i="18"/>
  <c r="Q23" i="18"/>
  <c r="P23" i="18"/>
  <c r="N23" i="18"/>
  <c r="M23" i="18"/>
  <c r="L23" i="18"/>
  <c r="K23" i="18"/>
  <c r="X22" i="18"/>
  <c r="W22" i="18"/>
  <c r="V22" i="18"/>
  <c r="S22" i="18"/>
  <c r="R22" i="18"/>
  <c r="Q22" i="18"/>
  <c r="P22" i="18"/>
  <c r="N22" i="18"/>
  <c r="M22" i="18"/>
  <c r="L22" i="18"/>
  <c r="K22" i="18"/>
  <c r="I22" i="18"/>
  <c r="H22" i="18"/>
  <c r="AL22" i="18" s="1"/>
  <c r="X21" i="18"/>
  <c r="W21" i="18"/>
  <c r="V21" i="18"/>
  <c r="S21" i="18"/>
  <c r="R21" i="18"/>
  <c r="Q21" i="18"/>
  <c r="P21" i="18"/>
  <c r="N21" i="18"/>
  <c r="M21" i="18"/>
  <c r="L21" i="18"/>
  <c r="K21" i="18"/>
  <c r="I21" i="18"/>
  <c r="H21" i="18"/>
  <c r="AI15" i="18"/>
  <c r="AH15" i="18"/>
  <c r="AG15" i="18"/>
  <c r="AJ15" i="18" s="1"/>
  <c r="AD15" i="18"/>
  <c r="AC15" i="18"/>
  <c r="AB15" i="18"/>
  <c r="AE15" i="18" s="1"/>
  <c r="S15" i="18"/>
  <c r="CH15" i="18" s="1"/>
  <c r="R15" i="18"/>
  <c r="CC15" i="18" s="1"/>
  <c r="Q15" i="18"/>
  <c r="P15" i="18"/>
  <c r="BT15" i="18" s="1"/>
  <c r="N15" i="18"/>
  <c r="BN15" i="18" s="1"/>
  <c r="M15" i="18"/>
  <c r="L15" i="18"/>
  <c r="BD15" i="18" s="1"/>
  <c r="K15" i="18"/>
  <c r="AY15" i="18" s="1"/>
  <c r="I15" i="18"/>
  <c r="H15" i="18"/>
  <c r="AN15" i="18" s="1"/>
  <c r="AC14" i="18"/>
  <c r="AB14" i="18"/>
  <c r="F14" i="18"/>
  <c r="AD14" i="18" s="1"/>
  <c r="BY13" i="18"/>
  <c r="AJ13" i="18"/>
  <c r="AI13" i="18"/>
  <c r="AH13" i="18"/>
  <c r="AG13" i="18"/>
  <c r="AE13" i="18"/>
  <c r="AD13" i="18"/>
  <c r="AC13" i="18"/>
  <c r="AB13" i="18"/>
  <c r="X13" i="18"/>
  <c r="W13" i="18"/>
  <c r="V13" i="18"/>
  <c r="S13" i="18"/>
  <c r="R13" i="18"/>
  <c r="CC13" i="18" s="1"/>
  <c r="Q13" i="18"/>
  <c r="BX13" i="18" s="1"/>
  <c r="P13" i="18"/>
  <c r="BS13" i="18" s="1"/>
  <c r="N13" i="18"/>
  <c r="BN13" i="18" s="1"/>
  <c r="M13" i="18"/>
  <c r="BH13" i="18" s="1"/>
  <c r="L13" i="18"/>
  <c r="BD13" i="18" s="1"/>
  <c r="K13" i="18"/>
  <c r="O13" i="18" s="1"/>
  <c r="J13" i="18"/>
  <c r="I13" i="18"/>
  <c r="AS13" i="18" s="1"/>
  <c r="H13" i="18"/>
  <c r="AM13" i="18" s="1"/>
  <c r="AJ12" i="18"/>
  <c r="AI12" i="18"/>
  <c r="AH12" i="18"/>
  <c r="AG12" i="18"/>
  <c r="AE12" i="18"/>
  <c r="AD12" i="18"/>
  <c r="AC12" i="18"/>
  <c r="AB12" i="18"/>
  <c r="X12" i="18"/>
  <c r="W12" i="18"/>
  <c r="V12" i="18"/>
  <c r="S12" i="18"/>
  <c r="R12" i="18"/>
  <c r="CC12" i="18" s="1"/>
  <c r="Q12" i="18"/>
  <c r="BY12" i="18" s="1"/>
  <c r="P12" i="18"/>
  <c r="BS12" i="18" s="1"/>
  <c r="N12" i="18"/>
  <c r="BN12" i="18" s="1"/>
  <c r="M12" i="18"/>
  <c r="BH12" i="18" s="1"/>
  <c r="L12" i="18"/>
  <c r="BD12" i="18" s="1"/>
  <c r="K12" i="18"/>
  <c r="J12" i="18"/>
  <c r="I12" i="18"/>
  <c r="AS12" i="18" s="1"/>
  <c r="H12" i="18"/>
  <c r="AM12" i="18" s="1"/>
  <c r="AJ11" i="18"/>
  <c r="AI11" i="18"/>
  <c r="AH11" i="18"/>
  <c r="AG11" i="18"/>
  <c r="AE11" i="18"/>
  <c r="AD11" i="18"/>
  <c r="AC11" i="18"/>
  <c r="AB11" i="18"/>
  <c r="X11" i="18"/>
  <c r="W11" i="18"/>
  <c r="V11" i="18"/>
  <c r="S11" i="18"/>
  <c r="R11" i="18"/>
  <c r="CC11" i="18" s="1"/>
  <c r="Q11" i="18"/>
  <c r="BY11" i="18" s="1"/>
  <c r="P11" i="18"/>
  <c r="BS11" i="18" s="1"/>
  <c r="N11" i="18"/>
  <c r="BN11" i="18" s="1"/>
  <c r="M11" i="18"/>
  <c r="BH11" i="18" s="1"/>
  <c r="L11" i="18"/>
  <c r="BD11" i="18" s="1"/>
  <c r="K11" i="18"/>
  <c r="J11" i="18"/>
  <c r="I11" i="18"/>
  <c r="AS11" i="18" s="1"/>
  <c r="H11" i="18"/>
  <c r="AM11" i="18" s="1"/>
  <c r="AJ10" i="18"/>
  <c r="AI10" i="18"/>
  <c r="AH10" i="18"/>
  <c r="AG10" i="18"/>
  <c r="AE10" i="18"/>
  <c r="AD10" i="18"/>
  <c r="AC10" i="18"/>
  <c r="AB10" i="18"/>
  <c r="X10" i="18"/>
  <c r="W10" i="18"/>
  <c r="V10" i="18"/>
  <c r="S10" i="18"/>
  <c r="R10" i="18"/>
  <c r="CC10" i="18" s="1"/>
  <c r="Q10" i="18"/>
  <c r="BY10" i="18" s="1"/>
  <c r="P10" i="18"/>
  <c r="BS10" i="18" s="1"/>
  <c r="N10" i="18"/>
  <c r="BN10" i="18" s="1"/>
  <c r="M10" i="18"/>
  <c r="BH10" i="18" s="1"/>
  <c r="L10" i="18"/>
  <c r="BD10" i="18" s="1"/>
  <c r="K10" i="18"/>
  <c r="O10" i="18" s="1"/>
  <c r="J10" i="18"/>
  <c r="I10" i="18"/>
  <c r="AS10" i="18" s="1"/>
  <c r="H10" i="18"/>
  <c r="AM10" i="18" s="1"/>
  <c r="AJ9" i="18"/>
  <c r="AI9" i="18"/>
  <c r="AH9" i="18"/>
  <c r="AG9" i="18"/>
  <c r="AE9" i="18"/>
  <c r="AD9" i="18"/>
  <c r="AC9" i="18"/>
  <c r="AB9" i="18"/>
  <c r="X9" i="18"/>
  <c r="W9" i="18"/>
  <c r="V9" i="18"/>
  <c r="S9" i="18"/>
  <c r="R9" i="18"/>
  <c r="CC9" i="18" s="1"/>
  <c r="Q9" i="18"/>
  <c r="BY9" i="18" s="1"/>
  <c r="P9" i="18"/>
  <c r="BS9" i="18" s="1"/>
  <c r="N9" i="18"/>
  <c r="BN9" i="18" s="1"/>
  <c r="M9" i="18"/>
  <c r="BH9" i="18" s="1"/>
  <c r="L9" i="18"/>
  <c r="BD9" i="18" s="1"/>
  <c r="K9" i="18"/>
  <c r="J9" i="18"/>
  <c r="I9" i="18"/>
  <c r="AS9" i="18" s="1"/>
  <c r="H9" i="18"/>
  <c r="AM9" i="18" s="1"/>
  <c r="Z8" i="18"/>
  <c r="AS7" i="18"/>
  <c r="AR7" i="18"/>
  <c r="AQ7" i="18"/>
  <c r="AT7" i="18" s="1"/>
  <c r="AN7" i="18"/>
  <c r="AM7" i="18"/>
  <c r="AL7" i="18"/>
  <c r="AI7" i="18"/>
  <c r="AH7" i="18"/>
  <c r="AG7" i="18"/>
  <c r="AD7" i="18"/>
  <c r="AC7" i="18"/>
  <c r="AB7" i="18"/>
  <c r="AE7" i="18" s="1"/>
  <c r="J7" i="18"/>
  <c r="AI6" i="18"/>
  <c r="AH6" i="18"/>
  <c r="AG6" i="18"/>
  <c r="AJ6" i="18" s="1"/>
  <c r="AD6" i="18"/>
  <c r="AC6" i="18"/>
  <c r="AE6" i="18" s="1"/>
  <c r="AB6" i="18"/>
  <c r="AI5" i="18"/>
  <c r="AH5" i="18"/>
  <c r="AG5" i="18"/>
  <c r="AJ5" i="18" s="1"/>
  <c r="AD5" i="18"/>
  <c r="AC5" i="18"/>
  <c r="AE5" i="18" s="1"/>
  <c r="AB5" i="18"/>
  <c r="H5" i="18"/>
  <c r="AL5" i="18" s="1"/>
  <c r="AN4" i="18"/>
  <c r="AM4" i="18"/>
  <c r="AI4" i="18"/>
  <c r="AH4" i="18"/>
  <c r="AG4" i="18"/>
  <c r="AJ4" i="18" s="1"/>
  <c r="H4" i="18"/>
  <c r="AL4" i="18" s="1"/>
  <c r="AO4" i="18" s="1"/>
  <c r="G4" i="18"/>
  <c r="F4" i="18"/>
  <c r="F8" i="18" s="1"/>
  <c r="B4" i="18"/>
  <c r="Q26" i="3"/>
  <c r="Q25" i="3"/>
  <c r="Q24" i="3"/>
  <c r="Q23" i="3"/>
  <c r="Q22" i="3"/>
  <c r="Q21" i="3"/>
  <c r="S26" i="3"/>
  <c r="S23" i="3"/>
  <c r="S22" i="3"/>
  <c r="S21" i="3"/>
  <c r="S24" i="3"/>
  <c r="S25" i="3"/>
  <c r="B4" i="16"/>
  <c r="C4" i="15"/>
  <c r="B4" i="15"/>
  <c r="CI46" i="16"/>
  <c r="CH46" i="16"/>
  <c r="CG46" i="16"/>
  <c r="CJ46" i="16" s="1"/>
  <c r="CD46" i="16"/>
  <c r="CC46" i="16"/>
  <c r="CB46" i="16"/>
  <c r="CE46" i="16" s="1"/>
  <c r="BY46" i="16"/>
  <c r="BX46" i="16"/>
  <c r="BW46" i="16"/>
  <c r="BZ46" i="16" s="1"/>
  <c r="BT46" i="16"/>
  <c r="BS46" i="16"/>
  <c r="BR46" i="16"/>
  <c r="BU46" i="16" s="1"/>
  <c r="BN46" i="16"/>
  <c r="BM46" i="16"/>
  <c r="BL46" i="16"/>
  <c r="BO46" i="16" s="1"/>
  <c r="BI46" i="16"/>
  <c r="BH46" i="16"/>
  <c r="BG46" i="16"/>
  <c r="BJ46" i="16" s="1"/>
  <c r="BD46" i="16"/>
  <c r="BC46" i="16"/>
  <c r="BB46" i="16"/>
  <c r="BE46" i="16" s="1"/>
  <c r="AD46" i="16"/>
  <c r="AC46" i="16"/>
  <c r="AB46" i="16"/>
  <c r="AE46" i="16" s="1"/>
  <c r="T46" i="16"/>
  <c r="K46" i="16"/>
  <c r="AY46" i="16" s="1"/>
  <c r="I46" i="16"/>
  <c r="AR46" i="16" s="1"/>
  <c r="H46" i="16"/>
  <c r="AN46" i="16" s="1"/>
  <c r="G46" i="16"/>
  <c r="AH46" i="16" s="1"/>
  <c r="AJ45" i="16"/>
  <c r="AI45" i="16"/>
  <c r="AH45" i="16"/>
  <c r="AG45" i="16"/>
  <c r="AE45" i="16"/>
  <c r="AD45" i="16"/>
  <c r="AC45" i="16"/>
  <c r="AB45" i="16"/>
  <c r="AJ44" i="16"/>
  <c r="AI44" i="16"/>
  <c r="AH44" i="16"/>
  <c r="AG44" i="16"/>
  <c r="AE44" i="16"/>
  <c r="AD44" i="16"/>
  <c r="AC44" i="16"/>
  <c r="AB44" i="16"/>
  <c r="H44" i="16"/>
  <c r="AN44" i="16" s="1"/>
  <c r="AJ43" i="16"/>
  <c r="AI43" i="16"/>
  <c r="AH43" i="16"/>
  <c r="AG43" i="16"/>
  <c r="AE43" i="16"/>
  <c r="AD43" i="16"/>
  <c r="AC43" i="16"/>
  <c r="AB43" i="16"/>
  <c r="Z43" i="16"/>
  <c r="Z42" i="16"/>
  <c r="F41" i="16"/>
  <c r="AB41" i="16" s="1"/>
  <c r="AD40" i="16"/>
  <c r="AC40" i="16"/>
  <c r="AB40" i="16"/>
  <c r="AE40" i="16" s="1"/>
  <c r="AD39" i="16"/>
  <c r="AC39" i="16"/>
  <c r="AB39" i="16"/>
  <c r="AE39" i="16" s="1"/>
  <c r="S38" i="16"/>
  <c r="X38" i="16" s="1"/>
  <c r="R38" i="16"/>
  <c r="CD38" i="16" s="1"/>
  <c r="Q38" i="16"/>
  <c r="BW38" i="16" s="1"/>
  <c r="P38" i="16"/>
  <c r="BT38" i="16" s="1"/>
  <c r="N38" i="16"/>
  <c r="BL38" i="16" s="1"/>
  <c r="M38" i="16"/>
  <c r="BI38" i="16" s="1"/>
  <c r="L38" i="16"/>
  <c r="BB38" i="16" s="1"/>
  <c r="K38" i="16"/>
  <c r="I38" i="16"/>
  <c r="AQ38" i="16" s="1"/>
  <c r="H38" i="16"/>
  <c r="AN38" i="16" s="1"/>
  <c r="G38" i="16"/>
  <c r="F38" i="16"/>
  <c r="AD38" i="16" s="1"/>
  <c r="Z36" i="16"/>
  <c r="G36" i="16"/>
  <c r="AI36" i="16" s="1"/>
  <c r="F36" i="16"/>
  <c r="AD36" i="16" s="1"/>
  <c r="AG35" i="16"/>
  <c r="G35" i="16"/>
  <c r="AI35" i="16" s="1"/>
  <c r="F35" i="16"/>
  <c r="AD35" i="16" s="1"/>
  <c r="AI34" i="16"/>
  <c r="AH34" i="16"/>
  <c r="AJ34" i="16" s="1"/>
  <c r="AG34" i="16"/>
  <c r="AD34" i="16"/>
  <c r="AC34" i="16"/>
  <c r="AE34" i="16" s="1"/>
  <c r="AB34" i="16"/>
  <c r="Z34" i="16"/>
  <c r="Z33" i="16"/>
  <c r="Z47" i="16" s="1"/>
  <c r="Z49" i="16" s="1"/>
  <c r="G33" i="16"/>
  <c r="AH33" i="16" s="1"/>
  <c r="F33" i="16"/>
  <c r="AC33" i="16" s="1"/>
  <c r="CI29" i="16"/>
  <c r="CH29" i="16"/>
  <c r="CG29" i="16"/>
  <c r="CJ29" i="16" s="1"/>
  <c r="CE29" i="16"/>
  <c r="CD29" i="16"/>
  <c r="CC29" i="16"/>
  <c r="CB29" i="16"/>
  <c r="BY29" i="16"/>
  <c r="BX29" i="16"/>
  <c r="BW29" i="16"/>
  <c r="BZ29" i="16" s="1"/>
  <c r="BU29" i="16"/>
  <c r="T29" i="16" s="1"/>
  <c r="BT29" i="16"/>
  <c r="BS29" i="16"/>
  <c r="BR29" i="16"/>
  <c r="BN29" i="16"/>
  <c r="BM29" i="16"/>
  <c r="BL29" i="16"/>
  <c r="BO29" i="16" s="1"/>
  <c r="BJ29" i="16"/>
  <c r="BI29" i="16"/>
  <c r="BH29" i="16"/>
  <c r="BG29" i="16"/>
  <c r="BD29" i="16"/>
  <c r="BC29" i="16"/>
  <c r="BB29" i="16"/>
  <c r="BE29" i="16" s="1"/>
  <c r="AZ29" i="16"/>
  <c r="O29" i="16" s="1"/>
  <c r="AY29" i="16"/>
  <c r="AX29" i="16"/>
  <c r="AW29" i="16"/>
  <c r="AS29" i="16"/>
  <c r="AR29" i="16"/>
  <c r="AQ29" i="16"/>
  <c r="AT29" i="16" s="1"/>
  <c r="AO29" i="16"/>
  <c r="AN29" i="16"/>
  <c r="AM29" i="16"/>
  <c r="AL29" i="16"/>
  <c r="AI29" i="16"/>
  <c r="AH29" i="16"/>
  <c r="AG29" i="16"/>
  <c r="AJ29" i="16" s="1"/>
  <c r="AE29" i="16"/>
  <c r="AD29" i="16"/>
  <c r="AC29" i="16"/>
  <c r="AB29" i="16"/>
  <c r="X28" i="16"/>
  <c r="W28" i="16"/>
  <c r="V28" i="16"/>
  <c r="S28" i="16"/>
  <c r="R28" i="16"/>
  <c r="Q28" i="16"/>
  <c r="P28" i="16"/>
  <c r="X27" i="16"/>
  <c r="W27" i="16"/>
  <c r="V27" i="16"/>
  <c r="S27" i="16"/>
  <c r="R27" i="16"/>
  <c r="Q27" i="16"/>
  <c r="P27" i="16"/>
  <c r="X26" i="16"/>
  <c r="W26" i="16"/>
  <c r="V26" i="16"/>
  <c r="S26" i="16"/>
  <c r="R26" i="16"/>
  <c r="Q26" i="16"/>
  <c r="P26" i="16"/>
  <c r="N26" i="16"/>
  <c r="M26" i="16"/>
  <c r="L26" i="16"/>
  <c r="K26" i="16"/>
  <c r="X25" i="16"/>
  <c r="W25" i="16"/>
  <c r="V25" i="16"/>
  <c r="S25" i="16"/>
  <c r="R25" i="16"/>
  <c r="Q25" i="16"/>
  <c r="P25" i="16"/>
  <c r="N25" i="16"/>
  <c r="M25" i="16"/>
  <c r="L25" i="16"/>
  <c r="K25" i="16"/>
  <c r="X24" i="16"/>
  <c r="W24" i="16"/>
  <c r="V24" i="16"/>
  <c r="S24" i="16"/>
  <c r="R24" i="16"/>
  <c r="Q24" i="16"/>
  <c r="P24" i="16"/>
  <c r="N24" i="16"/>
  <c r="M24" i="16"/>
  <c r="L24" i="16"/>
  <c r="K24" i="16"/>
  <c r="AN23" i="16"/>
  <c r="AN26" i="16" s="1"/>
  <c r="AM23" i="16"/>
  <c r="AL23" i="16"/>
  <c r="AL26" i="16" s="1"/>
  <c r="X23" i="16"/>
  <c r="W23" i="16"/>
  <c r="V23" i="16"/>
  <c r="S23" i="16"/>
  <c r="R23" i="16"/>
  <c r="Q23" i="16"/>
  <c r="P23" i="16"/>
  <c r="N23" i="16"/>
  <c r="M23" i="16"/>
  <c r="L23" i="16"/>
  <c r="K23" i="16"/>
  <c r="X22" i="16"/>
  <c r="W22" i="16"/>
  <c r="V22" i="16"/>
  <c r="S22" i="16"/>
  <c r="R22" i="16"/>
  <c r="Q22" i="16"/>
  <c r="P22" i="16"/>
  <c r="N22" i="16"/>
  <c r="M22" i="16"/>
  <c r="L22" i="16"/>
  <c r="K22" i="16"/>
  <c r="I22" i="16"/>
  <c r="H22" i="16"/>
  <c r="AN22" i="16" s="1"/>
  <c r="AN25" i="16" s="1"/>
  <c r="AN28" i="16" s="1"/>
  <c r="X21" i="16"/>
  <c r="W21" i="16"/>
  <c r="V21" i="16"/>
  <c r="S21" i="16"/>
  <c r="R21" i="16"/>
  <c r="Q21" i="16"/>
  <c r="P21" i="16"/>
  <c r="N21" i="16"/>
  <c r="M21" i="16"/>
  <c r="L21" i="16"/>
  <c r="K21" i="16"/>
  <c r="I21" i="16"/>
  <c r="H21" i="16"/>
  <c r="BL15" i="16"/>
  <c r="AI15" i="16"/>
  <c r="AH15" i="16"/>
  <c r="AG15" i="16"/>
  <c r="AJ15" i="16" s="1"/>
  <c r="AD15" i="16"/>
  <c r="AC15" i="16"/>
  <c r="AB15" i="16"/>
  <c r="AE15" i="16" s="1"/>
  <c r="S15" i="16"/>
  <c r="CI15" i="16" s="1"/>
  <c r="R15" i="16"/>
  <c r="CD15" i="16" s="1"/>
  <c r="Q15" i="16"/>
  <c r="BW15" i="16" s="1"/>
  <c r="P15" i="16"/>
  <c r="BT15" i="16" s="1"/>
  <c r="N15" i="16"/>
  <c r="BM15" i="16" s="1"/>
  <c r="M15" i="16"/>
  <c r="BI15" i="16" s="1"/>
  <c r="L15" i="16"/>
  <c r="BC15" i="16" s="1"/>
  <c r="K15" i="16"/>
  <c r="AY15" i="16" s="1"/>
  <c r="I15" i="16"/>
  <c r="AQ15" i="16" s="1"/>
  <c r="H15" i="16"/>
  <c r="AN15" i="16" s="1"/>
  <c r="F14" i="16"/>
  <c r="AB14" i="16" s="1"/>
  <c r="AI13" i="16"/>
  <c r="AH13" i="16"/>
  <c r="AJ13" i="16" s="1"/>
  <c r="AG13" i="16"/>
  <c r="AE13" i="16"/>
  <c r="AD13" i="16"/>
  <c r="AC13" i="16"/>
  <c r="AB13" i="16"/>
  <c r="X13" i="16"/>
  <c r="W13" i="16"/>
  <c r="V13" i="16"/>
  <c r="S13" i="16"/>
  <c r="CH13" i="16" s="1"/>
  <c r="R13" i="16"/>
  <c r="CD13" i="16" s="1"/>
  <c r="Q13" i="16"/>
  <c r="BY13" i="16" s="1"/>
  <c r="P13" i="16"/>
  <c r="BT13" i="16" s="1"/>
  <c r="N13" i="16"/>
  <c r="BN13" i="16" s="1"/>
  <c r="M13" i="16"/>
  <c r="L13" i="16"/>
  <c r="BD13" i="16" s="1"/>
  <c r="K13" i="16"/>
  <c r="I13" i="16"/>
  <c r="AS13" i="16" s="1"/>
  <c r="H13" i="16"/>
  <c r="AN13" i="16" s="1"/>
  <c r="AI12" i="16"/>
  <c r="AH12" i="16"/>
  <c r="AG12" i="16"/>
  <c r="AE12" i="16"/>
  <c r="AD12" i="16"/>
  <c r="AC12" i="16"/>
  <c r="AB12" i="16"/>
  <c r="X12" i="16"/>
  <c r="W12" i="16"/>
  <c r="V12" i="16"/>
  <c r="S12" i="16"/>
  <c r="R12" i="16"/>
  <c r="CD12" i="16" s="1"/>
  <c r="Q12" i="16"/>
  <c r="P12" i="16"/>
  <c r="N12" i="16"/>
  <c r="BM12" i="16" s="1"/>
  <c r="M12" i="16"/>
  <c r="L12" i="16"/>
  <c r="BD12" i="16" s="1"/>
  <c r="K12" i="16"/>
  <c r="AW12" i="16" s="1"/>
  <c r="I12" i="16"/>
  <c r="AQ12" i="16" s="1"/>
  <c r="H12" i="16"/>
  <c r="AL12" i="16" s="1"/>
  <c r="AI11" i="16"/>
  <c r="AH11" i="16"/>
  <c r="AJ11" i="16" s="1"/>
  <c r="AG11" i="16"/>
  <c r="AD11" i="16"/>
  <c r="AC11" i="16"/>
  <c r="AE11" i="16" s="1"/>
  <c r="AB11" i="16"/>
  <c r="X11" i="16"/>
  <c r="W11" i="16"/>
  <c r="V11" i="16"/>
  <c r="S11" i="16"/>
  <c r="CI11" i="16" s="1"/>
  <c r="R11" i="16"/>
  <c r="CB11" i="16" s="1"/>
  <c r="Q11" i="16"/>
  <c r="BY11" i="16" s="1"/>
  <c r="P11" i="16"/>
  <c r="BR11" i="16" s="1"/>
  <c r="N11" i="16"/>
  <c r="BN11" i="16" s="1"/>
  <c r="M11" i="16"/>
  <c r="BG11" i="16" s="1"/>
  <c r="L11" i="16"/>
  <c r="BB11" i="16" s="1"/>
  <c r="K11" i="16"/>
  <c r="AW11" i="16" s="1"/>
  <c r="I11" i="16"/>
  <c r="AS11" i="16" s="1"/>
  <c r="H11" i="16"/>
  <c r="AL11" i="16" s="1"/>
  <c r="AI10" i="16"/>
  <c r="AH10" i="16"/>
  <c r="AJ10" i="16" s="1"/>
  <c r="AG10" i="16"/>
  <c r="AD10" i="16"/>
  <c r="AC10" i="16"/>
  <c r="AE10" i="16" s="1"/>
  <c r="AB10" i="16"/>
  <c r="X10" i="16"/>
  <c r="W10" i="16"/>
  <c r="V10" i="16"/>
  <c r="S10" i="16"/>
  <c r="CI10" i="16" s="1"/>
  <c r="R10" i="16"/>
  <c r="CB10" i="16" s="1"/>
  <c r="Q10" i="16"/>
  <c r="BY10" i="16" s="1"/>
  <c r="P10" i="16"/>
  <c r="BR10" i="16" s="1"/>
  <c r="N10" i="16"/>
  <c r="BN10" i="16" s="1"/>
  <c r="M10" i="16"/>
  <c r="BG10" i="16" s="1"/>
  <c r="L10" i="16"/>
  <c r="BB10" i="16" s="1"/>
  <c r="K10" i="16"/>
  <c r="AW10" i="16" s="1"/>
  <c r="I10" i="16"/>
  <c r="AS10" i="16" s="1"/>
  <c r="H10" i="16"/>
  <c r="AL10" i="16" s="1"/>
  <c r="AI9" i="16"/>
  <c r="AH9" i="16"/>
  <c r="AJ9" i="16" s="1"/>
  <c r="AG9" i="16"/>
  <c r="AD9" i="16"/>
  <c r="AC9" i="16"/>
  <c r="AE9" i="16" s="1"/>
  <c r="AB9" i="16"/>
  <c r="X9" i="16"/>
  <c r="W9" i="16"/>
  <c r="V9" i="16"/>
  <c r="S9" i="16"/>
  <c r="CI9" i="16" s="1"/>
  <c r="R9" i="16"/>
  <c r="CB9" i="16" s="1"/>
  <c r="Q9" i="16"/>
  <c r="BY9" i="16" s="1"/>
  <c r="P9" i="16"/>
  <c r="BR9" i="16" s="1"/>
  <c r="N9" i="16"/>
  <c r="BN9" i="16" s="1"/>
  <c r="M9" i="16"/>
  <c r="BG9" i="16" s="1"/>
  <c r="L9" i="16"/>
  <c r="BB9" i="16" s="1"/>
  <c r="K9" i="16"/>
  <c r="AW9" i="16" s="1"/>
  <c r="I9" i="16"/>
  <c r="AS9" i="16" s="1"/>
  <c r="H9" i="16"/>
  <c r="AL9" i="16" s="1"/>
  <c r="Z8" i="16"/>
  <c r="AS7" i="16"/>
  <c r="AR7" i="16"/>
  <c r="AQ7" i="16"/>
  <c r="AT7" i="16" s="1"/>
  <c r="AN7" i="16"/>
  <c r="AM7" i="16"/>
  <c r="AL7" i="16"/>
  <c r="AO7" i="16" s="1"/>
  <c r="AI7" i="16"/>
  <c r="AH7" i="16"/>
  <c r="AG7" i="16"/>
  <c r="AJ7" i="16" s="1"/>
  <c r="AD7" i="16"/>
  <c r="AC7" i="16"/>
  <c r="AB7" i="16"/>
  <c r="AE7" i="16" s="1"/>
  <c r="J7" i="16"/>
  <c r="AI6" i="16"/>
  <c r="AH6" i="16"/>
  <c r="AG6" i="16"/>
  <c r="AJ6" i="16" s="1"/>
  <c r="AD6" i="16"/>
  <c r="AE6" i="16" s="1"/>
  <c r="AC6" i="16"/>
  <c r="AB6" i="16"/>
  <c r="AI5" i="16"/>
  <c r="AH5" i="16"/>
  <c r="AG5" i="16"/>
  <c r="AJ5" i="16" s="1"/>
  <c r="AD5" i="16"/>
  <c r="AE5" i="16" s="1"/>
  <c r="AC5" i="16"/>
  <c r="AB5" i="16"/>
  <c r="H5" i="16"/>
  <c r="AM5" i="16" s="1"/>
  <c r="AI4" i="16"/>
  <c r="AG4" i="16"/>
  <c r="AJ4" i="16" s="1"/>
  <c r="AD4" i="16"/>
  <c r="H4" i="16"/>
  <c r="AM4" i="16" s="1"/>
  <c r="G4" i="16"/>
  <c r="AH4" i="16" s="1"/>
  <c r="F4" i="16"/>
  <c r="AC4" i="16" s="1"/>
  <c r="G5" i="14"/>
  <c r="F5" i="14"/>
  <c r="E5" i="14"/>
  <c r="X28" i="15"/>
  <c r="W28" i="15"/>
  <c r="V28" i="15"/>
  <c r="X27" i="15"/>
  <c r="W27" i="15"/>
  <c r="V27" i="15"/>
  <c r="X26" i="15"/>
  <c r="W26" i="15"/>
  <c r="V26" i="15"/>
  <c r="X25" i="15"/>
  <c r="W25" i="15"/>
  <c r="V25" i="15"/>
  <c r="X24" i="15"/>
  <c r="G11" i="14" s="1"/>
  <c r="W24" i="15"/>
  <c r="F11" i="14" s="1"/>
  <c r="V24" i="15"/>
  <c r="E11" i="14" s="1"/>
  <c r="X23" i="15"/>
  <c r="W23" i="15"/>
  <c r="V23" i="15"/>
  <c r="X22" i="15"/>
  <c r="W22" i="15"/>
  <c r="V22" i="15"/>
  <c r="X21" i="15"/>
  <c r="G10" i="14" s="1"/>
  <c r="W21" i="15"/>
  <c r="F10" i="14" s="1"/>
  <c r="V21" i="15"/>
  <c r="E10" i="14" s="1"/>
  <c r="X13" i="15"/>
  <c r="W13" i="15"/>
  <c r="V13" i="15"/>
  <c r="X12" i="15"/>
  <c r="W12" i="15"/>
  <c r="V12" i="15"/>
  <c r="X11" i="15"/>
  <c r="W11" i="15"/>
  <c r="V11" i="15"/>
  <c r="X10" i="15"/>
  <c r="W10" i="15"/>
  <c r="V10" i="15"/>
  <c r="X9" i="15"/>
  <c r="W9" i="15"/>
  <c r="V9" i="15"/>
  <c r="BH13" i="22" l="1"/>
  <c r="BJ13" i="22" s="1"/>
  <c r="BI13" i="22"/>
  <c r="T13" i="22"/>
  <c r="CB13" i="22"/>
  <c r="BG12" i="22"/>
  <c r="BJ12" i="22" s="1"/>
  <c r="BI12" i="22"/>
  <c r="CB12" i="22"/>
  <c r="BH11" i="22"/>
  <c r="BJ11" i="22" s="1"/>
  <c r="BI11" i="22"/>
  <c r="AX11" i="22"/>
  <c r="AZ11" i="22" s="1"/>
  <c r="O11" i="22"/>
  <c r="AY11" i="22"/>
  <c r="T10" i="22"/>
  <c r="O9" i="22"/>
  <c r="BL9" i="22"/>
  <c r="BO9" i="22" s="1"/>
  <c r="BM9" i="22"/>
  <c r="T9" i="22"/>
  <c r="AC4" i="22"/>
  <c r="AE4" i="22" s="1"/>
  <c r="AL9" i="22"/>
  <c r="AO9" i="22" s="1"/>
  <c r="AW9" i="22"/>
  <c r="AZ9" i="22" s="1"/>
  <c r="BG9" i="22"/>
  <c r="BR9" i="22"/>
  <c r="CB9" i="22"/>
  <c r="AL10" i="22"/>
  <c r="AX10" i="22"/>
  <c r="AZ10" i="22" s="1"/>
  <c r="CD10" i="22"/>
  <c r="T12" i="22"/>
  <c r="BT12" i="22"/>
  <c r="BS12" i="22"/>
  <c r="AM9" i="22"/>
  <c r="AX9" i="22"/>
  <c r="BH9" i="22"/>
  <c r="BS9" i="22"/>
  <c r="CC9" i="22"/>
  <c r="BY10" i="22"/>
  <c r="BX10" i="22"/>
  <c r="BW10" i="22"/>
  <c r="AM10" i="22"/>
  <c r="AY10" i="22"/>
  <c r="BR10" i="22"/>
  <c r="BR11" i="22"/>
  <c r="AN12" i="22"/>
  <c r="J12" i="22"/>
  <c r="AM12" i="22"/>
  <c r="BR12" i="22"/>
  <c r="BE15" i="22"/>
  <c r="K5" i="22"/>
  <c r="J9" i="22"/>
  <c r="AY9" i="22"/>
  <c r="BT9" i="22"/>
  <c r="J10" i="22"/>
  <c r="BS10" i="22"/>
  <c r="AL11" i="22"/>
  <c r="CI10" i="22"/>
  <c r="CH10" i="22"/>
  <c r="CG10" i="22"/>
  <c r="BT10" i="22"/>
  <c r="T11" i="22"/>
  <c r="BT11" i="22"/>
  <c r="AM11" i="22"/>
  <c r="AY12" i="22"/>
  <c r="AX12" i="22"/>
  <c r="CI12" i="22"/>
  <c r="CH12" i="22"/>
  <c r="CG12" i="22"/>
  <c r="CJ12" i="22" s="1"/>
  <c r="CE12" i="22"/>
  <c r="CE13" i="22"/>
  <c r="AH4" i="22"/>
  <c r="AJ4" i="22" s="1"/>
  <c r="AR5" i="22"/>
  <c r="AT5" i="22" s="1"/>
  <c r="AQ9" i="22"/>
  <c r="BB9" i="22"/>
  <c r="BW9" i="22"/>
  <c r="CG9" i="22"/>
  <c r="BD10" i="22"/>
  <c r="BC10" i="22"/>
  <c r="BB10" i="22"/>
  <c r="BE10" i="22" s="1"/>
  <c r="AQ10" i="22"/>
  <c r="BG10" i="22"/>
  <c r="AS11" i="22"/>
  <c r="AR11" i="22"/>
  <c r="AQ11" i="22"/>
  <c r="BY11" i="22"/>
  <c r="BX11" i="22"/>
  <c r="BW11" i="22"/>
  <c r="AN11" i="22"/>
  <c r="F8" i="22"/>
  <c r="AR9" i="22"/>
  <c r="BC9" i="22"/>
  <c r="BX9" i="22"/>
  <c r="CH9" i="22"/>
  <c r="AR10" i="22"/>
  <c r="BH10" i="22"/>
  <c r="CB11" i="22"/>
  <c r="AO15" i="22"/>
  <c r="BN10" i="22"/>
  <c r="BM10" i="22"/>
  <c r="BL10" i="22"/>
  <c r="CB10" i="22"/>
  <c r="CI11" i="22"/>
  <c r="CH11" i="22"/>
  <c r="CG11" i="22"/>
  <c r="CJ11" i="22" s="1"/>
  <c r="CC11" i="22"/>
  <c r="O10" i="22"/>
  <c r="O12" i="22"/>
  <c r="AL12" i="22"/>
  <c r="CJ15" i="22"/>
  <c r="O13" i="22"/>
  <c r="BG15" i="22"/>
  <c r="BJ15" i="22" s="1"/>
  <c r="BO38" i="22"/>
  <c r="AL13" i="22"/>
  <c r="AW13" i="22"/>
  <c r="BR13" i="22"/>
  <c r="AM15" i="22"/>
  <c r="BH15" i="22"/>
  <c r="BS15" i="22"/>
  <c r="BU15" i="22" s="1"/>
  <c r="CC12" i="22"/>
  <c r="AM13" i="22"/>
  <c r="AX13" i="22"/>
  <c r="BS13" i="22"/>
  <c r="CC13" i="22"/>
  <c r="O15" i="22"/>
  <c r="AN15" i="22"/>
  <c r="BT15" i="22"/>
  <c r="J13" i="22"/>
  <c r="BT13" i="22"/>
  <c r="AB14" i="22"/>
  <c r="AC14" i="22"/>
  <c r="AQ15" i="22"/>
  <c r="BL15" i="22"/>
  <c r="BW15" i="22"/>
  <c r="AH35" i="22"/>
  <c r="AJ35" i="22" s="1"/>
  <c r="AI35" i="22"/>
  <c r="BB11" i="22"/>
  <c r="BL11" i="22"/>
  <c r="AQ12" i="22"/>
  <c r="BB12" i="22"/>
  <c r="BL12" i="22"/>
  <c r="BW12" i="22"/>
  <c r="BZ12" i="22" s="1"/>
  <c r="AQ13" i="22"/>
  <c r="BB13" i="22"/>
  <c r="BE13" i="22" s="1"/>
  <c r="BL13" i="22"/>
  <c r="BW13" i="22"/>
  <c r="CG13" i="22"/>
  <c r="AR15" i="22"/>
  <c r="BM15" i="22"/>
  <c r="BX15" i="22"/>
  <c r="BC11" i="22"/>
  <c r="BM11" i="22"/>
  <c r="AR12" i="22"/>
  <c r="BC12" i="22"/>
  <c r="BM12" i="22"/>
  <c r="BX12" i="22"/>
  <c r="AR13" i="22"/>
  <c r="BC13" i="22"/>
  <c r="BM13" i="22"/>
  <c r="BX13" i="22"/>
  <c r="CH13" i="22"/>
  <c r="BE29" i="22"/>
  <c r="O29" i="22" s="1"/>
  <c r="CE29" i="22"/>
  <c r="BU29" i="22"/>
  <c r="T29" i="22" s="1"/>
  <c r="AJ46" i="22"/>
  <c r="AJ38" i="22"/>
  <c r="CE46" i="22"/>
  <c r="AL22" i="22"/>
  <c r="AC35" i="22"/>
  <c r="AB35" i="22"/>
  <c r="AX46" i="22"/>
  <c r="AW46" i="22"/>
  <c r="AZ46" i="22" s="1"/>
  <c r="O46" i="22"/>
  <c r="BU46" i="22"/>
  <c r="J29" i="22"/>
  <c r="AE33" i="22"/>
  <c r="AD35" i="22"/>
  <c r="K44" i="22"/>
  <c r="AS44" i="22"/>
  <c r="AR44" i="22"/>
  <c r="AT44" i="22" s="1"/>
  <c r="AE46" i="22"/>
  <c r="AT38" i="22"/>
  <c r="AM46" i="22"/>
  <c r="AL46" i="22"/>
  <c r="AN46" i="22"/>
  <c r="AG33" i="22"/>
  <c r="BY38" i="22"/>
  <c r="BX38" i="22"/>
  <c r="BZ38" i="22" s="1"/>
  <c r="AT46" i="22"/>
  <c r="AB36" i="22"/>
  <c r="AE36" i="22" s="1"/>
  <c r="AS38" i="22"/>
  <c r="AR38" i="22"/>
  <c r="AE44" i="22"/>
  <c r="BD38" i="22"/>
  <c r="BC38" i="22"/>
  <c r="BE38" i="22" s="1"/>
  <c r="V38" i="22"/>
  <c r="AH38" i="22"/>
  <c r="BM38" i="22"/>
  <c r="CH38" i="22"/>
  <c r="AC41" i="22"/>
  <c r="AE41" i="22" s="1"/>
  <c r="AI46" i="22"/>
  <c r="AS46" i="22"/>
  <c r="W38" i="22"/>
  <c r="CI38" i="22"/>
  <c r="CJ38" i="22" s="1"/>
  <c r="AB38" i="22"/>
  <c r="AE38" i="22" s="1"/>
  <c r="AL38" i="22"/>
  <c r="AO38" i="22" s="1"/>
  <c r="AW38" i="22"/>
  <c r="AZ38" i="22" s="1"/>
  <c r="BG38" i="22"/>
  <c r="BJ38" i="22" s="1"/>
  <c r="BR38" i="22"/>
  <c r="BU38" i="22" s="1"/>
  <c r="CB38" i="22"/>
  <c r="CE38" i="22" s="1"/>
  <c r="AL44" i="22"/>
  <c r="AO44" i="22" s="1"/>
  <c r="J44" i="22"/>
  <c r="J46" i="22"/>
  <c r="AE44" i="21"/>
  <c r="AO43" i="21"/>
  <c r="BT35" i="21"/>
  <c r="BU35" i="21" s="1"/>
  <c r="BU34" i="21"/>
  <c r="T34" i="21" s="1"/>
  <c r="AL33" i="21"/>
  <c r="AM35" i="21"/>
  <c r="AN35" i="21"/>
  <c r="AN4" i="21"/>
  <c r="AM4" i="21"/>
  <c r="AC41" i="21"/>
  <c r="CD36" i="21"/>
  <c r="AD36" i="21"/>
  <c r="BY36" i="21"/>
  <c r="CG33" i="21"/>
  <c r="CJ33" i="21" s="1"/>
  <c r="AB33" i="21"/>
  <c r="AE33" i="21" s="1"/>
  <c r="CH33" i="21"/>
  <c r="AG33" i="21"/>
  <c r="AH33" i="21"/>
  <c r="BR33" i="21"/>
  <c r="AQ13" i="21"/>
  <c r="AW13" i="21"/>
  <c r="BG13" i="21"/>
  <c r="BL13" i="21"/>
  <c r="BW13" i="21"/>
  <c r="CB13" i="21"/>
  <c r="CG13" i="21"/>
  <c r="AW12" i="21"/>
  <c r="BL12" i="21"/>
  <c r="BW12" i="21"/>
  <c r="CB12" i="21"/>
  <c r="AQ12" i="21"/>
  <c r="BW11" i="21"/>
  <c r="AQ11" i="21"/>
  <c r="CG11" i="21"/>
  <c r="AW11" i="21"/>
  <c r="BG11" i="21"/>
  <c r="BL11" i="21"/>
  <c r="T11" i="21"/>
  <c r="AY5" i="21"/>
  <c r="AX5" i="21"/>
  <c r="AW5" i="21"/>
  <c r="AZ5" i="21" s="1"/>
  <c r="L5" i="21"/>
  <c r="AG4" i="21"/>
  <c r="AJ4" i="21" s="1"/>
  <c r="AQ5" i="21"/>
  <c r="BD13" i="21"/>
  <c r="BC13" i="21"/>
  <c r="AR5" i="21"/>
  <c r="BT9" i="21"/>
  <c r="BS9" i="21"/>
  <c r="BT10" i="21"/>
  <c r="BS10" i="21"/>
  <c r="AN11" i="21"/>
  <c r="J11" i="21"/>
  <c r="AM11" i="21"/>
  <c r="AO11" i="21" s="1"/>
  <c r="T12" i="21"/>
  <c r="AS5" i="21"/>
  <c r="F8" i="21"/>
  <c r="BD12" i="21"/>
  <c r="BC12" i="21"/>
  <c r="BN15" i="21"/>
  <c r="BL15" i="21"/>
  <c r="AN9" i="21"/>
  <c r="J9" i="21"/>
  <c r="AM9" i="21"/>
  <c r="AO9" i="21" s="1"/>
  <c r="AN10" i="21"/>
  <c r="J10" i="21"/>
  <c r="AM10" i="21"/>
  <c r="BT13" i="21"/>
  <c r="BS13" i="21"/>
  <c r="AC14" i="21"/>
  <c r="AB14" i="21"/>
  <c r="T15" i="21"/>
  <c r="AB4" i="21"/>
  <c r="AE4" i="21" s="1"/>
  <c r="AL4" i="21"/>
  <c r="AL5" i="21"/>
  <c r="AO5" i="21" s="1"/>
  <c r="CI9" i="21"/>
  <c r="CH9" i="21"/>
  <c r="CJ9" i="21" s="1"/>
  <c r="BD11" i="21"/>
  <c r="BC11" i="21"/>
  <c r="BB13" i="21"/>
  <c r="BE13" i="21" s="1"/>
  <c r="BM15" i="21"/>
  <c r="AM26" i="21"/>
  <c r="AO26" i="21" s="1"/>
  <c r="AO23" i="21"/>
  <c r="AY9" i="21"/>
  <c r="AX9" i="21"/>
  <c r="AZ9" i="21" s="1"/>
  <c r="O9" i="21"/>
  <c r="BR10" i="21"/>
  <c r="BU10" i="21" s="1"/>
  <c r="BT12" i="21"/>
  <c r="BS12" i="21"/>
  <c r="AN13" i="21"/>
  <c r="J13" i="21"/>
  <c r="AM13" i="21"/>
  <c r="CD15" i="21"/>
  <c r="CB15" i="21"/>
  <c r="BU15" i="21"/>
  <c r="J5" i="21"/>
  <c r="BD9" i="21"/>
  <c r="BC9" i="21"/>
  <c r="BE9" i="21" s="1"/>
  <c r="BD10" i="21"/>
  <c r="BC10" i="21"/>
  <c r="BE10" i="21" s="1"/>
  <c r="BZ10" i="21"/>
  <c r="BB12" i="21"/>
  <c r="BR9" i="21"/>
  <c r="AL10" i="21"/>
  <c r="AO10" i="21" s="1"/>
  <c r="CE10" i="21"/>
  <c r="BT11" i="21"/>
  <c r="BS11" i="21"/>
  <c r="BU11" i="21" s="1"/>
  <c r="AN12" i="21"/>
  <c r="J12" i="21"/>
  <c r="AM12" i="21"/>
  <c r="AO12" i="21" s="1"/>
  <c r="T13" i="21"/>
  <c r="BR13" i="21"/>
  <c r="AE15" i="21"/>
  <c r="AZ15" i="21"/>
  <c r="O10" i="21"/>
  <c r="O11" i="21"/>
  <c r="O12" i="21"/>
  <c r="O13" i="21"/>
  <c r="AL15" i="21"/>
  <c r="AO15" i="21" s="1"/>
  <c r="BG15" i="21"/>
  <c r="BJ15" i="21" s="1"/>
  <c r="AO35" i="21"/>
  <c r="BH9" i="21"/>
  <c r="BJ9" i="21" s="1"/>
  <c r="CC9" i="21"/>
  <c r="CE9" i="21" s="1"/>
  <c r="AX10" i="21"/>
  <c r="AZ10" i="21" s="1"/>
  <c r="BH10" i="21"/>
  <c r="BJ10" i="21" s="1"/>
  <c r="CC10" i="21"/>
  <c r="AX11" i="21"/>
  <c r="AZ11" i="21" s="1"/>
  <c r="BH11" i="21"/>
  <c r="BJ11" i="21" s="1"/>
  <c r="CC11" i="21"/>
  <c r="CE11" i="21" s="1"/>
  <c r="AX12" i="21"/>
  <c r="AZ12" i="21" s="1"/>
  <c r="BH12" i="21"/>
  <c r="BJ12" i="21" s="1"/>
  <c r="CC12" i="21"/>
  <c r="AX13" i="21"/>
  <c r="AZ13" i="21" s="1"/>
  <c r="BH13" i="21"/>
  <c r="BJ13" i="21" s="1"/>
  <c r="CC13" i="21"/>
  <c r="O15" i="21"/>
  <c r="BT15" i="21"/>
  <c r="BZ35" i="21"/>
  <c r="AQ15" i="21"/>
  <c r="AT15" i="21" s="1"/>
  <c r="BW15" i="21"/>
  <c r="BZ15" i="21" s="1"/>
  <c r="O29" i="21"/>
  <c r="AR9" i="21"/>
  <c r="AT9" i="21" s="1"/>
  <c r="BM9" i="21"/>
  <c r="BO9" i="21" s="1"/>
  <c r="BX9" i="21"/>
  <c r="BZ9" i="21" s="1"/>
  <c r="AR10" i="21"/>
  <c r="AT10" i="21" s="1"/>
  <c r="BM10" i="21"/>
  <c r="BO10" i="21" s="1"/>
  <c r="BX10" i="21"/>
  <c r="CH10" i="21"/>
  <c r="CJ10" i="21" s="1"/>
  <c r="AR11" i="21"/>
  <c r="AT11" i="21" s="1"/>
  <c r="BM11" i="21"/>
  <c r="BX11" i="21"/>
  <c r="BZ11" i="21" s="1"/>
  <c r="CH11" i="21"/>
  <c r="CJ11" i="21" s="1"/>
  <c r="AR12" i="21"/>
  <c r="AT12" i="21" s="1"/>
  <c r="BM12" i="21"/>
  <c r="BO12" i="21" s="1"/>
  <c r="BX12" i="21"/>
  <c r="BZ12" i="21" s="1"/>
  <c r="CH12" i="21"/>
  <c r="CJ12" i="21" s="1"/>
  <c r="AR13" i="21"/>
  <c r="AT13" i="21" s="1"/>
  <c r="BM13" i="21"/>
  <c r="BO13" i="21" s="1"/>
  <c r="BX13" i="21"/>
  <c r="CH13" i="21"/>
  <c r="BE29" i="21"/>
  <c r="BS36" i="21"/>
  <c r="BR36" i="21"/>
  <c r="BT36" i="21"/>
  <c r="AL22" i="21"/>
  <c r="BY33" i="21"/>
  <c r="BX33" i="21"/>
  <c r="CC35" i="21"/>
  <c r="CB35" i="21"/>
  <c r="CD35" i="21"/>
  <c r="AM22" i="21"/>
  <c r="AM25" i="21" s="1"/>
  <c r="AM28" i="21" s="1"/>
  <c r="BJ29" i="21"/>
  <c r="AC35" i="21"/>
  <c r="AB35" i="21"/>
  <c r="AE35" i="21" s="1"/>
  <c r="CJ35" i="21"/>
  <c r="AJ29" i="21"/>
  <c r="J29" i="21" s="1"/>
  <c r="BZ29" i="21"/>
  <c r="T29" i="21" s="1"/>
  <c r="AS38" i="21"/>
  <c r="AQ38" i="21"/>
  <c r="AR38" i="21"/>
  <c r="BO29" i="21"/>
  <c r="AO29" i="21"/>
  <c r="CE29" i="21"/>
  <c r="AM36" i="21"/>
  <c r="AL36" i="21"/>
  <c r="AN36" i="21"/>
  <c r="AM44" i="21"/>
  <c r="I44" i="21"/>
  <c r="AL44" i="21"/>
  <c r="AN44" i="21"/>
  <c r="BX35" i="21"/>
  <c r="BY38" i="21"/>
  <c r="BW38" i="21"/>
  <c r="AG36" i="21"/>
  <c r="BW36" i="21"/>
  <c r="BZ36" i="21" s="1"/>
  <c r="CG36" i="21"/>
  <c r="AY38" i="21"/>
  <c r="AW38" i="21"/>
  <c r="AZ38" i="21" s="1"/>
  <c r="CI38" i="21"/>
  <c r="W38" i="21"/>
  <c r="CG38" i="21"/>
  <c r="CJ38" i="21" s="1"/>
  <c r="AH36" i="21"/>
  <c r="CH36" i="21"/>
  <c r="V38" i="21"/>
  <c r="CH38" i="21"/>
  <c r="AE45" i="21"/>
  <c r="Z47" i="21"/>
  <c r="Z49" i="21" s="1"/>
  <c r="BI38" i="21"/>
  <c r="BG38" i="21"/>
  <c r="AC33" i="21"/>
  <c r="AM33" i="21"/>
  <c r="AO33" i="21" s="1"/>
  <c r="BS33" i="21"/>
  <c r="CC33" i="21"/>
  <c r="CE33" i="21" s="1"/>
  <c r="AB36" i="21"/>
  <c r="AE36" i="21" s="1"/>
  <c r="CB36" i="21"/>
  <c r="CE36" i="21" s="1"/>
  <c r="AE43" i="21"/>
  <c r="AJ45" i="21"/>
  <c r="AI38" i="21"/>
  <c r="AG38" i="21"/>
  <c r="AH38" i="21"/>
  <c r="BX38" i="21"/>
  <c r="AR46" i="21"/>
  <c r="AQ46" i="21"/>
  <c r="AS46" i="21"/>
  <c r="BB38" i="21"/>
  <c r="BE38" i="21" s="1"/>
  <c r="BL38" i="21"/>
  <c r="BO38" i="21" s="1"/>
  <c r="AB41" i="21"/>
  <c r="O46" i="21"/>
  <c r="AI46" i="21"/>
  <c r="AL46" i="21"/>
  <c r="AO46" i="21" s="1"/>
  <c r="AW46" i="21"/>
  <c r="AX46" i="21"/>
  <c r="AB38" i="21"/>
  <c r="AE38" i="21" s="1"/>
  <c r="AL38" i="21"/>
  <c r="AO38" i="21" s="1"/>
  <c r="BR38" i="21"/>
  <c r="BU38" i="21" s="1"/>
  <c r="CB38" i="21"/>
  <c r="CE38" i="21" s="1"/>
  <c r="J46" i="21"/>
  <c r="AG46" i="21"/>
  <c r="AJ46" i="21" s="1"/>
  <c r="O46" i="20"/>
  <c r="AY46" i="20"/>
  <c r="AW46" i="20"/>
  <c r="AI46" i="20"/>
  <c r="AS46" i="20"/>
  <c r="AM44" i="20"/>
  <c r="I44" i="20"/>
  <c r="AR44" i="20" s="1"/>
  <c r="AD41" i="20"/>
  <c r="AC36" i="20"/>
  <c r="AE36" i="20" s="1"/>
  <c r="AD36" i="20"/>
  <c r="BB15" i="20"/>
  <c r="J15" i="20"/>
  <c r="AW15" i="20"/>
  <c r="AX15" i="20"/>
  <c r="BD15" i="20"/>
  <c r="BE15" i="20" s="1"/>
  <c r="CB15" i="20"/>
  <c r="CC15" i="20"/>
  <c r="CE15" i="20" s="1"/>
  <c r="T15" i="20"/>
  <c r="CG15" i="20"/>
  <c r="T11" i="20"/>
  <c r="BG13" i="20"/>
  <c r="CB13" i="20"/>
  <c r="T13" i="20"/>
  <c r="CB12" i="20"/>
  <c r="T12" i="20"/>
  <c r="BG12" i="20"/>
  <c r="BG11" i="20"/>
  <c r="CB11" i="20"/>
  <c r="BG10" i="20"/>
  <c r="CB10" i="20"/>
  <c r="AS9" i="20"/>
  <c r="BN9" i="20"/>
  <c r="BY9" i="20"/>
  <c r="AR9" i="20"/>
  <c r="AT9" i="20" s="1"/>
  <c r="CI9" i="20"/>
  <c r="CG9" i="20"/>
  <c r="T9" i="20"/>
  <c r="F8" i="20"/>
  <c r="BI9" i="20"/>
  <c r="BH9" i="20"/>
  <c r="BJ9" i="20" s="1"/>
  <c r="T10" i="20"/>
  <c r="BT10" i="20"/>
  <c r="BS10" i="20"/>
  <c r="BO9" i="20"/>
  <c r="AW9" i="20"/>
  <c r="BM9" i="20"/>
  <c r="CH9" i="20"/>
  <c r="BR10" i="20"/>
  <c r="AL4" i="20"/>
  <c r="AL5" i="20"/>
  <c r="O9" i="20"/>
  <c r="AX9" i="20"/>
  <c r="AN10" i="20"/>
  <c r="J10" i="20"/>
  <c r="AM10" i="20"/>
  <c r="AO10" i="20" s="1"/>
  <c r="AC4" i="20"/>
  <c r="AE4" i="20" s="1"/>
  <c r="AM4" i="20"/>
  <c r="I5" i="20"/>
  <c r="J5" i="20" s="1"/>
  <c r="AM5" i="20"/>
  <c r="BT9" i="20"/>
  <c r="BS9" i="20"/>
  <c r="AL9" i="20"/>
  <c r="BR9" i="20"/>
  <c r="AM9" i="20"/>
  <c r="BC9" i="20"/>
  <c r="AY10" i="20"/>
  <c r="AX10" i="20"/>
  <c r="O10" i="20"/>
  <c r="J9" i="20"/>
  <c r="CD9" i="20"/>
  <c r="CC9" i="20"/>
  <c r="CE9" i="20" s="1"/>
  <c r="BD9" i="20"/>
  <c r="BX9" i="20"/>
  <c r="BZ9" i="20" s="1"/>
  <c r="O11" i="20"/>
  <c r="O12" i="20"/>
  <c r="O13" i="20"/>
  <c r="AL15" i="20"/>
  <c r="BG15" i="20"/>
  <c r="BJ15" i="20" s="1"/>
  <c r="BR15" i="20"/>
  <c r="AL11" i="20"/>
  <c r="AW11" i="20"/>
  <c r="BR11" i="20"/>
  <c r="AL12" i="20"/>
  <c r="AW12" i="20"/>
  <c r="BR12" i="20"/>
  <c r="AL13" i="20"/>
  <c r="AW13" i="20"/>
  <c r="BR13" i="20"/>
  <c r="AM15" i="20"/>
  <c r="BH15" i="20"/>
  <c r="BS15" i="20"/>
  <c r="BH10" i="20"/>
  <c r="BJ10" i="20" s="1"/>
  <c r="CC10" i="20"/>
  <c r="CE10" i="20" s="1"/>
  <c r="AM11" i="20"/>
  <c r="AX11" i="20"/>
  <c r="BH11" i="20"/>
  <c r="BS11" i="20"/>
  <c r="CC11" i="20"/>
  <c r="CE11" i="20" s="1"/>
  <c r="AM12" i="20"/>
  <c r="AX12" i="20"/>
  <c r="BH12" i="20"/>
  <c r="BS12" i="20"/>
  <c r="CC12" i="20"/>
  <c r="AM13" i="20"/>
  <c r="AX13" i="20"/>
  <c r="BH13" i="20"/>
  <c r="BJ13" i="20" s="1"/>
  <c r="BS13" i="20"/>
  <c r="CC13" i="20"/>
  <c r="CE13" i="20" s="1"/>
  <c r="O15" i="20"/>
  <c r="AN15" i="20"/>
  <c r="BT15" i="20"/>
  <c r="O29" i="20"/>
  <c r="J11" i="20"/>
  <c r="BT11" i="20"/>
  <c r="J12" i="20"/>
  <c r="BT12" i="20"/>
  <c r="J13" i="20"/>
  <c r="BT13" i="20"/>
  <c r="AB14" i="20"/>
  <c r="AO26" i="20"/>
  <c r="AC14" i="20"/>
  <c r="AQ15" i="20"/>
  <c r="BL15" i="20"/>
  <c r="BW15" i="20"/>
  <c r="AQ10" i="20"/>
  <c r="BB10" i="20"/>
  <c r="BL10" i="20"/>
  <c r="BW10" i="20"/>
  <c r="CG10" i="20"/>
  <c r="AQ11" i="20"/>
  <c r="BB11" i="20"/>
  <c r="BL11" i="20"/>
  <c r="BW11" i="20"/>
  <c r="CG11" i="20"/>
  <c r="AQ12" i="20"/>
  <c r="BB12" i="20"/>
  <c r="BL12" i="20"/>
  <c r="BW12" i="20"/>
  <c r="CG12" i="20"/>
  <c r="AQ13" i="20"/>
  <c r="BB13" i="20"/>
  <c r="BL13" i="20"/>
  <c r="BW13" i="20"/>
  <c r="CG13" i="20"/>
  <c r="AR15" i="20"/>
  <c r="BM15" i="20"/>
  <c r="BX15" i="20"/>
  <c r="CH15" i="20"/>
  <c r="CJ15" i="20" s="1"/>
  <c r="AL22" i="20"/>
  <c r="AR10" i="20"/>
  <c r="BC10" i="20"/>
  <c r="BM10" i="20"/>
  <c r="BX10" i="20"/>
  <c r="CH10" i="20"/>
  <c r="AR11" i="20"/>
  <c r="BC11" i="20"/>
  <c r="BM11" i="20"/>
  <c r="BX11" i="20"/>
  <c r="CH11" i="20"/>
  <c r="AR12" i="20"/>
  <c r="BC12" i="20"/>
  <c r="BM12" i="20"/>
  <c r="BX12" i="20"/>
  <c r="CH12" i="20"/>
  <c r="AR13" i="20"/>
  <c r="BC13" i="20"/>
  <c r="BM13" i="20"/>
  <c r="BX13" i="20"/>
  <c r="CH13" i="20"/>
  <c r="AM22" i="20"/>
  <c r="AM25" i="20" s="1"/>
  <c r="AM28" i="20" s="1"/>
  <c r="AO23" i="20"/>
  <c r="J29" i="20"/>
  <c r="T29" i="20"/>
  <c r="BO38" i="20"/>
  <c r="AZ46" i="20"/>
  <c r="BZ38" i="20"/>
  <c r="AG36" i="20"/>
  <c r="AJ36" i="20" s="1"/>
  <c r="AE33" i="20"/>
  <c r="AB35" i="20"/>
  <c r="CJ38" i="20"/>
  <c r="AG33" i="20"/>
  <c r="AC35" i="20"/>
  <c r="AH33" i="20"/>
  <c r="V38" i="20"/>
  <c r="AH38" i="20"/>
  <c r="AJ38" i="20" s="1"/>
  <c r="AR38" i="20"/>
  <c r="AT38" i="20" s="1"/>
  <c r="BC38" i="20"/>
  <c r="BE38" i="20" s="1"/>
  <c r="BM38" i="20"/>
  <c r="BX38" i="20"/>
  <c r="CH38" i="20"/>
  <c r="AC41" i="20"/>
  <c r="AE41" i="20" s="1"/>
  <c r="W38" i="20"/>
  <c r="AI38" i="20"/>
  <c r="AS38" i="20"/>
  <c r="BD38" i="20"/>
  <c r="BN38" i="20"/>
  <c r="BY38" i="20"/>
  <c r="CI38" i="20"/>
  <c r="X38" i="20"/>
  <c r="AL46" i="20"/>
  <c r="AB38" i="20"/>
  <c r="AL38" i="20"/>
  <c r="AW38" i="20"/>
  <c r="BG38" i="20"/>
  <c r="BR38" i="20"/>
  <c r="CB38" i="20"/>
  <c r="AL44" i="20"/>
  <c r="AO44" i="20" s="1"/>
  <c r="AM46" i="20"/>
  <c r="AC38" i="20"/>
  <c r="AM38" i="20"/>
  <c r="AX38" i="20"/>
  <c r="BH38" i="20"/>
  <c r="BS38" i="20"/>
  <c r="CC38" i="20"/>
  <c r="J44" i="20"/>
  <c r="K44" i="20"/>
  <c r="J46" i="20"/>
  <c r="AG46" i="20"/>
  <c r="AJ46" i="20" s="1"/>
  <c r="AQ46" i="20"/>
  <c r="AT46" i="20" s="1"/>
  <c r="AI35" i="18"/>
  <c r="AM22" i="18"/>
  <c r="AM25" i="18" s="1"/>
  <c r="AM28" i="18" s="1"/>
  <c r="AN22" i="18"/>
  <c r="AN25" i="18" s="1"/>
  <c r="AN28" i="18" s="1"/>
  <c r="AO22" i="18"/>
  <c r="AL15" i="18"/>
  <c r="AW15" i="18"/>
  <c r="BB15" i="18"/>
  <c r="BL15" i="18"/>
  <c r="BR15" i="18"/>
  <c r="CD15" i="18"/>
  <c r="I5" i="18"/>
  <c r="J5" i="18" s="1"/>
  <c r="AM5" i="18"/>
  <c r="AO5" i="18" s="1"/>
  <c r="AN5" i="18"/>
  <c r="AC8" i="18"/>
  <c r="AB8" i="18"/>
  <c r="AD8" i="18"/>
  <c r="AC4" i="18"/>
  <c r="AX9" i="18"/>
  <c r="AW9" i="18"/>
  <c r="AZ9" i="18" s="1"/>
  <c r="AY9" i="18"/>
  <c r="CI9" i="18"/>
  <c r="CH9" i="18"/>
  <c r="CG9" i="18"/>
  <c r="AE14" i="18"/>
  <c r="BI15" i="18"/>
  <c r="BH15" i="18"/>
  <c r="BG15" i="18"/>
  <c r="CI10" i="18"/>
  <c r="CH10" i="18"/>
  <c r="CG10" i="18"/>
  <c r="K5" i="18"/>
  <c r="AX11" i="18"/>
  <c r="AW11" i="18"/>
  <c r="AY11" i="18"/>
  <c r="CI11" i="18"/>
  <c r="CH11" i="18"/>
  <c r="CG11" i="18"/>
  <c r="AJ7" i="18"/>
  <c r="AX12" i="18"/>
  <c r="AW12" i="18"/>
  <c r="AZ12" i="18" s="1"/>
  <c r="AY12" i="18"/>
  <c r="CI12" i="18"/>
  <c r="CH12" i="18"/>
  <c r="CG12" i="18"/>
  <c r="AD4" i="18"/>
  <c r="AX10" i="18"/>
  <c r="AW10" i="18"/>
  <c r="AY10" i="18"/>
  <c r="O9" i="18"/>
  <c r="AX13" i="18"/>
  <c r="AW13" i="18"/>
  <c r="AY13" i="18"/>
  <c r="CI13" i="18"/>
  <c r="CH13" i="18"/>
  <c r="CG13" i="18"/>
  <c r="BX15" i="18"/>
  <c r="BY15" i="18"/>
  <c r="BW15" i="18"/>
  <c r="AO7" i="18"/>
  <c r="O11" i="18"/>
  <c r="AS15" i="18"/>
  <c r="AR15" i="18"/>
  <c r="AQ15" i="18"/>
  <c r="AB4" i="18"/>
  <c r="AE4" i="18" s="1"/>
  <c r="O12" i="18"/>
  <c r="AN9" i="18"/>
  <c r="BI9" i="18"/>
  <c r="BT9" i="18"/>
  <c r="CD9" i="18"/>
  <c r="AN10" i="18"/>
  <c r="BI10" i="18"/>
  <c r="BT10" i="18"/>
  <c r="CD10" i="18"/>
  <c r="AN11" i="18"/>
  <c r="BI11" i="18"/>
  <c r="BT11" i="18"/>
  <c r="CD11" i="18"/>
  <c r="AN12" i="18"/>
  <c r="BI12" i="18"/>
  <c r="BT12" i="18"/>
  <c r="CD12" i="18"/>
  <c r="AN13" i="18"/>
  <c r="BI13" i="18"/>
  <c r="BT13" i="18"/>
  <c r="CD13" i="18"/>
  <c r="CI15" i="18"/>
  <c r="AL25" i="18"/>
  <c r="T9" i="18"/>
  <c r="AQ9" i="18"/>
  <c r="AT9" i="18" s="1"/>
  <c r="BB9" i="18"/>
  <c r="BL9" i="18"/>
  <c r="BW9" i="18"/>
  <c r="BZ9" i="18" s="1"/>
  <c r="T10" i="18"/>
  <c r="AQ10" i="18"/>
  <c r="AT10" i="18" s="1"/>
  <c r="BB10" i="18"/>
  <c r="BL10" i="18"/>
  <c r="BW10" i="18"/>
  <c r="T11" i="18"/>
  <c r="AQ11" i="18"/>
  <c r="AT11" i="18" s="1"/>
  <c r="BB11" i="18"/>
  <c r="BL11" i="18"/>
  <c r="BW11" i="18"/>
  <c r="BZ11" i="18" s="1"/>
  <c r="T12" i="18"/>
  <c r="AQ12" i="18"/>
  <c r="AT12" i="18" s="1"/>
  <c r="BB12" i="18"/>
  <c r="BL12" i="18"/>
  <c r="BO12" i="18" s="1"/>
  <c r="BW12" i="18"/>
  <c r="T13" i="18"/>
  <c r="AQ13" i="18"/>
  <c r="BB13" i="18"/>
  <c r="BL13" i="18"/>
  <c r="BW13" i="18"/>
  <c r="BZ13" i="18" s="1"/>
  <c r="J15" i="18"/>
  <c r="BC15" i="18"/>
  <c r="BE15" i="18" s="1"/>
  <c r="BM15" i="18"/>
  <c r="BO15" i="18" s="1"/>
  <c r="AR9" i="18"/>
  <c r="BC9" i="18"/>
  <c r="BM9" i="18"/>
  <c r="BX9" i="18"/>
  <c r="AR10" i="18"/>
  <c r="BC10" i="18"/>
  <c r="BM10" i="18"/>
  <c r="BX10" i="18"/>
  <c r="AR11" i="18"/>
  <c r="BC11" i="18"/>
  <c r="BM11" i="18"/>
  <c r="BX11" i="18"/>
  <c r="AR12" i="18"/>
  <c r="BC12" i="18"/>
  <c r="BM12" i="18"/>
  <c r="BX12" i="18"/>
  <c r="AR13" i="18"/>
  <c r="BC13" i="18"/>
  <c r="BM13" i="18"/>
  <c r="AJ35" i="18"/>
  <c r="T15" i="18"/>
  <c r="CB15" i="18"/>
  <c r="CE15" i="18" s="1"/>
  <c r="AL9" i="18"/>
  <c r="AO9" i="18" s="1"/>
  <c r="BG9" i="18"/>
  <c r="BJ9" i="18" s="1"/>
  <c r="BR9" i="18"/>
  <c r="CB9" i="18"/>
  <c r="CE9" i="18" s="1"/>
  <c r="AL10" i="18"/>
  <c r="AO10" i="18" s="1"/>
  <c r="BG10" i="18"/>
  <c r="BR10" i="18"/>
  <c r="BU10" i="18" s="1"/>
  <c r="CB10" i="18"/>
  <c r="CE10" i="18" s="1"/>
  <c r="AL11" i="18"/>
  <c r="AO11" i="18" s="1"/>
  <c r="BG11" i="18"/>
  <c r="BJ11" i="18" s="1"/>
  <c r="BR11" i="18"/>
  <c r="CB11" i="18"/>
  <c r="CE11" i="18" s="1"/>
  <c r="AL12" i="18"/>
  <c r="AO12" i="18" s="1"/>
  <c r="BG12" i="18"/>
  <c r="BR12" i="18"/>
  <c r="BU12" i="18" s="1"/>
  <c r="CB12" i="18"/>
  <c r="CE12" i="18" s="1"/>
  <c r="AL13" i="18"/>
  <c r="AO13" i="18" s="1"/>
  <c r="BG13" i="18"/>
  <c r="BJ13" i="18" s="1"/>
  <c r="BR13" i="18"/>
  <c r="CB13" i="18"/>
  <c r="CE13" i="18" s="1"/>
  <c r="AM15" i="18"/>
  <c r="AX15" i="18"/>
  <c r="AZ15" i="18" s="1"/>
  <c r="BS15" i="18"/>
  <c r="BU15" i="18" s="1"/>
  <c r="AL26" i="18"/>
  <c r="AO26" i="18" s="1"/>
  <c r="AO23" i="18"/>
  <c r="O15" i="18"/>
  <c r="CG15" i="18"/>
  <c r="CJ15" i="18" s="1"/>
  <c r="AE29" i="18"/>
  <c r="BU29" i="18"/>
  <c r="BE38" i="18"/>
  <c r="AJ29" i="18"/>
  <c r="BZ29" i="18"/>
  <c r="AD33" i="18"/>
  <c r="AB33" i="18"/>
  <c r="AZ29" i="18"/>
  <c r="AC35" i="18"/>
  <c r="AB35" i="18"/>
  <c r="AE35" i="18" s="1"/>
  <c r="AO29" i="18"/>
  <c r="CE29" i="18"/>
  <c r="AG38" i="18"/>
  <c r="AI38" i="18"/>
  <c r="AH38" i="18"/>
  <c r="BE29" i="18"/>
  <c r="AH35" i="18"/>
  <c r="AY38" i="18"/>
  <c r="AX38" i="18"/>
  <c r="AW38" i="18"/>
  <c r="CG38" i="18"/>
  <c r="CI38" i="18"/>
  <c r="CH38" i="18"/>
  <c r="V38" i="18"/>
  <c r="AG36" i="18"/>
  <c r="X38" i="18"/>
  <c r="AH36" i="18"/>
  <c r="BL38" i="18"/>
  <c r="BN38" i="18"/>
  <c r="BM38" i="18"/>
  <c r="L44" i="18"/>
  <c r="AY44" i="18"/>
  <c r="AX44" i="18"/>
  <c r="AW44" i="18"/>
  <c r="AD38" i="18"/>
  <c r="AC38" i="18"/>
  <c r="AB38" i="18"/>
  <c r="AE38" i="18" s="1"/>
  <c r="AJ46" i="18"/>
  <c r="AB36" i="18"/>
  <c r="AE36" i="18" s="1"/>
  <c r="AE39" i="18"/>
  <c r="AO46" i="18"/>
  <c r="Z47" i="18"/>
  <c r="Z49" i="18" s="1"/>
  <c r="AJ33" i="18"/>
  <c r="AT46" i="18"/>
  <c r="AR38" i="18"/>
  <c r="AT38" i="18" s="1"/>
  <c r="BC38" i="18"/>
  <c r="BX38" i="18"/>
  <c r="BZ38" i="18" s="1"/>
  <c r="AC41" i="18"/>
  <c r="AE41" i="18" s="1"/>
  <c r="AL38" i="18"/>
  <c r="BG38" i="18"/>
  <c r="BR38" i="18"/>
  <c r="BU38" i="18" s="1"/>
  <c r="CB38" i="18"/>
  <c r="AL44" i="18"/>
  <c r="AO44" i="18" s="1"/>
  <c r="AM46" i="18"/>
  <c r="AM38" i="18"/>
  <c r="BH38" i="18"/>
  <c r="BS38" i="18"/>
  <c r="CC38" i="18"/>
  <c r="J44" i="18"/>
  <c r="AX11" i="16"/>
  <c r="AN4" i="16"/>
  <c r="BH11" i="16"/>
  <c r="BC9" i="16"/>
  <c r="BS10" i="16"/>
  <c r="BC13" i="16"/>
  <c r="AC14" i="16"/>
  <c r="AW46" i="16"/>
  <c r="E12" i="14"/>
  <c r="F12" i="14"/>
  <c r="G12" i="14"/>
  <c r="BD9" i="16"/>
  <c r="AM10" i="16"/>
  <c r="BT10" i="16"/>
  <c r="BU10" i="16" s="1"/>
  <c r="BC11" i="16"/>
  <c r="BE11" i="16" s="1"/>
  <c r="BB15" i="16"/>
  <c r="AM22" i="16"/>
  <c r="AM25" i="16" s="1"/>
  <c r="AM28" i="16" s="1"/>
  <c r="BH9" i="16"/>
  <c r="AN10" i="16"/>
  <c r="CC10" i="16"/>
  <c r="BD11" i="16"/>
  <c r="AR13" i="16"/>
  <c r="BD15" i="16"/>
  <c r="BS9" i="16"/>
  <c r="BU9" i="16" s="1"/>
  <c r="AX10" i="16"/>
  <c r="AG46" i="16"/>
  <c r="AJ46" i="16" s="1"/>
  <c r="BT9" i="16"/>
  <c r="BC10" i="16"/>
  <c r="BS11" i="16"/>
  <c r="BU11" i="16" s="1"/>
  <c r="BC12" i="16"/>
  <c r="BM13" i="16"/>
  <c r="BN15" i="16"/>
  <c r="AB33" i="16"/>
  <c r="AB36" i="16"/>
  <c r="J46" i="16"/>
  <c r="AI46" i="16"/>
  <c r="AN5" i="16"/>
  <c r="BE9" i="16"/>
  <c r="AM9" i="16"/>
  <c r="CC9" i="16"/>
  <c r="BD10" i="16"/>
  <c r="BT11" i="16"/>
  <c r="BX13" i="16"/>
  <c r="AD33" i="16"/>
  <c r="AC36" i="16"/>
  <c r="AE36" i="16" s="1"/>
  <c r="AL46" i="16"/>
  <c r="AN9" i="16"/>
  <c r="AO10" i="16"/>
  <c r="BH10" i="16"/>
  <c r="AM11" i="16"/>
  <c r="CC11" i="16"/>
  <c r="CG15" i="16"/>
  <c r="AG36" i="16"/>
  <c r="I44" i="16"/>
  <c r="O46" i="16"/>
  <c r="AQ46" i="16"/>
  <c r="AX9" i="16"/>
  <c r="BM10" i="16"/>
  <c r="AN11" i="16"/>
  <c r="AB35" i="16"/>
  <c r="AS46" i="16"/>
  <c r="AO26" i="16"/>
  <c r="BY12" i="16"/>
  <c r="BW12" i="16"/>
  <c r="J9" i="16"/>
  <c r="AY9" i="16"/>
  <c r="BI9" i="16"/>
  <c r="CD9" i="16"/>
  <c r="J10" i="16"/>
  <c r="AY10" i="16"/>
  <c r="BI10" i="16"/>
  <c r="CD10" i="16"/>
  <c r="CE10" i="16" s="1"/>
  <c r="J11" i="16"/>
  <c r="AY11" i="16"/>
  <c r="AZ11" i="16" s="1"/>
  <c r="BI11" i="16"/>
  <c r="BJ11" i="16" s="1"/>
  <c r="CD11" i="16"/>
  <c r="J12" i="16"/>
  <c r="AM26" i="16"/>
  <c r="AO23" i="16"/>
  <c r="BX12" i="16"/>
  <c r="AY12" i="16"/>
  <c r="AX12" i="16"/>
  <c r="CI12" i="16"/>
  <c r="CG12" i="16"/>
  <c r="AJ12" i="16"/>
  <c r="CH12" i="16"/>
  <c r="BY15" i="16"/>
  <c r="BX15" i="16"/>
  <c r="T9" i="16"/>
  <c r="AQ9" i="16"/>
  <c r="BL9" i="16"/>
  <c r="BW9" i="16"/>
  <c r="CG9" i="16"/>
  <c r="T10" i="16"/>
  <c r="AQ10" i="16"/>
  <c r="BL10" i="16"/>
  <c r="BO10" i="16" s="1"/>
  <c r="BW10" i="16"/>
  <c r="BZ10" i="16" s="1"/>
  <c r="CG10" i="16"/>
  <c r="T11" i="16"/>
  <c r="AQ11" i="16"/>
  <c r="BL11" i="16"/>
  <c r="BW11" i="16"/>
  <c r="CG11" i="16"/>
  <c r="F8" i="16"/>
  <c r="AR9" i="16"/>
  <c r="BM9" i="16"/>
  <c r="BX9" i="16"/>
  <c r="CH9" i="16"/>
  <c r="AR10" i="16"/>
  <c r="BX10" i="16"/>
  <c r="CH10" i="16"/>
  <c r="AR11" i="16"/>
  <c r="BM11" i="16"/>
  <c r="BX11" i="16"/>
  <c r="CH11" i="16"/>
  <c r="BI12" i="16"/>
  <c r="BH12" i="16"/>
  <c r="BG12" i="16"/>
  <c r="CI13" i="16"/>
  <c r="CG13" i="16"/>
  <c r="AS15" i="16"/>
  <c r="AR15" i="16"/>
  <c r="BE15" i="16"/>
  <c r="BN12" i="16"/>
  <c r="BL12" i="16"/>
  <c r="AY13" i="16"/>
  <c r="AX13" i="16"/>
  <c r="AW13" i="16"/>
  <c r="O13" i="16"/>
  <c r="AB4" i="16"/>
  <c r="AE4" i="16" s="1"/>
  <c r="AL4" i="16"/>
  <c r="O9" i="16"/>
  <c r="O10" i="16"/>
  <c r="O11" i="16"/>
  <c r="O12" i="16"/>
  <c r="BO15" i="16"/>
  <c r="AS12" i="16"/>
  <c r="AL5" i="16"/>
  <c r="I5" i="16"/>
  <c r="AN12" i="16"/>
  <c r="AM12" i="16"/>
  <c r="BT12" i="16"/>
  <c r="BS12" i="16"/>
  <c r="BR12" i="16"/>
  <c r="BU12" i="16" s="1"/>
  <c r="T12" i="16"/>
  <c r="AR12" i="16"/>
  <c r="BI13" i="16"/>
  <c r="BH13" i="16"/>
  <c r="BG13" i="16"/>
  <c r="BB12" i="16"/>
  <c r="T13" i="16"/>
  <c r="AQ13" i="16"/>
  <c r="BB13" i="16"/>
  <c r="BL13" i="16"/>
  <c r="BW13" i="16"/>
  <c r="BZ13" i="16" s="1"/>
  <c r="AD14" i="16"/>
  <c r="AE14" i="16" s="1"/>
  <c r="J15" i="16"/>
  <c r="CH15" i="16"/>
  <c r="AL22" i="16"/>
  <c r="T15" i="16"/>
  <c r="AL15" i="16"/>
  <c r="AW15" i="16"/>
  <c r="BG15" i="16"/>
  <c r="BR15" i="16"/>
  <c r="BU15" i="16" s="1"/>
  <c r="CB15" i="16"/>
  <c r="J29" i="16"/>
  <c r="CB12" i="16"/>
  <c r="AL13" i="16"/>
  <c r="BR13" i="16"/>
  <c r="CB13" i="16"/>
  <c r="AM15" i="16"/>
  <c r="AX15" i="16"/>
  <c r="BH15" i="16"/>
  <c r="BS15" i="16"/>
  <c r="CC15" i="16"/>
  <c r="CC12" i="16"/>
  <c r="AM13" i="16"/>
  <c r="BS13" i="16"/>
  <c r="CC13" i="16"/>
  <c r="O15" i="16"/>
  <c r="J13" i="16"/>
  <c r="AI33" i="16"/>
  <c r="AY38" i="16"/>
  <c r="AX38" i="16"/>
  <c r="AW38" i="16"/>
  <c r="CG38" i="16"/>
  <c r="CJ38" i="16" s="1"/>
  <c r="CI38" i="16"/>
  <c r="W38" i="16"/>
  <c r="CH38" i="16"/>
  <c r="V38" i="16"/>
  <c r="AH35" i="16"/>
  <c r="AH36" i="16"/>
  <c r="AG38" i="16"/>
  <c r="AI38" i="16"/>
  <c r="AH38" i="16"/>
  <c r="AG33" i="16"/>
  <c r="AC35" i="16"/>
  <c r="AE35" i="16" s="1"/>
  <c r="AR38" i="16"/>
  <c r="BC38" i="16"/>
  <c r="BM38" i="16"/>
  <c r="BX38" i="16"/>
  <c r="BZ38" i="16" s="1"/>
  <c r="AC41" i="16"/>
  <c r="AE41" i="16" s="1"/>
  <c r="AS38" i="16"/>
  <c r="BD38" i="16"/>
  <c r="BN38" i="16"/>
  <c r="BY38" i="16"/>
  <c r="AD41" i="16"/>
  <c r="AS44" i="16"/>
  <c r="AB38" i="16"/>
  <c r="AL38" i="16"/>
  <c r="BG38" i="16"/>
  <c r="BR38" i="16"/>
  <c r="CB38" i="16"/>
  <c r="AL44" i="16"/>
  <c r="AM46" i="16"/>
  <c r="AO46" i="16" s="1"/>
  <c r="AX46" i="16"/>
  <c r="AZ46" i="16" s="1"/>
  <c r="AC38" i="16"/>
  <c r="AM38" i="16"/>
  <c r="BH38" i="16"/>
  <c r="BS38" i="16"/>
  <c r="CC38" i="16"/>
  <c r="AM44" i="16"/>
  <c r="J44" i="16"/>
  <c r="H5" i="15"/>
  <c r="CI46" i="15"/>
  <c r="CH46" i="15"/>
  <c r="CG46" i="15"/>
  <c r="CJ46" i="15" s="1"/>
  <c r="CE46" i="15"/>
  <c r="CD46" i="15"/>
  <c r="CC46" i="15"/>
  <c r="CB46" i="15"/>
  <c r="BY46" i="15"/>
  <c r="BX46" i="15"/>
  <c r="BW46" i="15"/>
  <c r="BZ46" i="15" s="1"/>
  <c r="BU46" i="15"/>
  <c r="BT46" i="15"/>
  <c r="BS46" i="15"/>
  <c r="BR46" i="15"/>
  <c r="BN46" i="15"/>
  <c r="BM46" i="15"/>
  <c r="BL46" i="15"/>
  <c r="BO46" i="15" s="1"/>
  <c r="BJ46" i="15"/>
  <c r="BI46" i="15"/>
  <c r="BH46" i="15"/>
  <c r="BG46" i="15"/>
  <c r="BD46" i="15"/>
  <c r="BC46" i="15"/>
  <c r="BB46" i="15"/>
  <c r="BE46" i="15" s="1"/>
  <c r="AE46" i="15"/>
  <c r="AD46" i="15"/>
  <c r="AC46" i="15"/>
  <c r="AB46" i="15"/>
  <c r="T46" i="15"/>
  <c r="K46" i="15"/>
  <c r="AY46" i="15" s="1"/>
  <c r="I46" i="15"/>
  <c r="AQ46" i="15" s="1"/>
  <c r="H46" i="15"/>
  <c r="AN46" i="15" s="1"/>
  <c r="G46" i="15"/>
  <c r="AI46" i="15" s="1"/>
  <c r="AI45" i="15"/>
  <c r="AH45" i="15"/>
  <c r="AG45" i="15"/>
  <c r="AJ45" i="15" s="1"/>
  <c r="AD45" i="15"/>
  <c r="AE45" i="15" s="1"/>
  <c r="AC45" i="15"/>
  <c r="AB45" i="15"/>
  <c r="AI44" i="15"/>
  <c r="AH44" i="15"/>
  <c r="AG44" i="15"/>
  <c r="AJ44" i="15" s="1"/>
  <c r="AD44" i="15"/>
  <c r="AE44" i="15" s="1"/>
  <c r="AC44" i="15"/>
  <c r="AB44" i="15"/>
  <c r="H44" i="15"/>
  <c r="AI43" i="15"/>
  <c r="AH43" i="15"/>
  <c r="AG43" i="15"/>
  <c r="AJ43" i="15" s="1"/>
  <c r="AE43" i="15"/>
  <c r="AD43" i="15"/>
  <c r="AC43" i="15"/>
  <c r="AB43" i="15"/>
  <c r="Z43" i="15"/>
  <c r="Z42" i="15"/>
  <c r="AC41" i="15"/>
  <c r="AB41" i="15"/>
  <c r="F41" i="15"/>
  <c r="AD41" i="15" s="1"/>
  <c r="AE40" i="15"/>
  <c r="AD40" i="15"/>
  <c r="AC40" i="15"/>
  <c r="AB40" i="15"/>
  <c r="AD39" i="15"/>
  <c r="AE39" i="15" s="1"/>
  <c r="AC39" i="15"/>
  <c r="AB39" i="15"/>
  <c r="AC38" i="15"/>
  <c r="S38" i="15"/>
  <c r="R38" i="15"/>
  <c r="CD38" i="15" s="1"/>
  <c r="Q38" i="15"/>
  <c r="BY38" i="15" s="1"/>
  <c r="P38" i="15"/>
  <c r="BT38" i="15" s="1"/>
  <c r="N38" i="15"/>
  <c r="BN38" i="15" s="1"/>
  <c r="M38" i="15"/>
  <c r="BH38" i="15" s="1"/>
  <c r="L38" i="15"/>
  <c r="BD38" i="15" s="1"/>
  <c r="K38" i="15"/>
  <c r="I38" i="15"/>
  <c r="AS38" i="15" s="1"/>
  <c r="H38" i="15"/>
  <c r="AN38" i="15" s="1"/>
  <c r="G38" i="15"/>
  <c r="AI38" i="15" s="1"/>
  <c r="F38" i="15"/>
  <c r="AD38" i="15" s="1"/>
  <c r="Z36" i="15"/>
  <c r="G36" i="15"/>
  <c r="AI36" i="15" s="1"/>
  <c r="F36" i="15"/>
  <c r="AD36" i="15" s="1"/>
  <c r="G35" i="15"/>
  <c r="AI35" i="15" s="1"/>
  <c r="F35" i="15"/>
  <c r="AC35" i="15" s="1"/>
  <c r="AI34" i="15"/>
  <c r="AH34" i="15"/>
  <c r="AG34" i="15"/>
  <c r="AJ34" i="15" s="1"/>
  <c r="AD34" i="15"/>
  <c r="AC34" i="15"/>
  <c r="AB34" i="15"/>
  <c r="AE34" i="15" s="1"/>
  <c r="Z34" i="15"/>
  <c r="Z33" i="15"/>
  <c r="G33" i="15"/>
  <c r="AG33" i="15" s="1"/>
  <c r="F33" i="15"/>
  <c r="CJ29" i="15"/>
  <c r="CI29" i="15"/>
  <c r="CH29" i="15"/>
  <c r="CG29" i="15"/>
  <c r="CD29" i="15"/>
  <c r="CC29" i="15"/>
  <c r="CB29" i="15"/>
  <c r="BZ29" i="15"/>
  <c r="BY29" i="15"/>
  <c r="BX29" i="15"/>
  <c r="BW29" i="15"/>
  <c r="BT29" i="15"/>
  <c r="BS29" i="15"/>
  <c r="BR29" i="15"/>
  <c r="BU29" i="15" s="1"/>
  <c r="BO29" i="15"/>
  <c r="BN29" i="15"/>
  <c r="BM29" i="15"/>
  <c r="BL29" i="15"/>
  <c r="BI29" i="15"/>
  <c r="BH29" i="15"/>
  <c r="BG29" i="15"/>
  <c r="BJ29" i="15" s="1"/>
  <c r="BE29" i="15"/>
  <c r="BD29" i="15"/>
  <c r="BC29" i="15"/>
  <c r="BB29" i="15"/>
  <c r="AY29" i="15"/>
  <c r="AX29" i="15"/>
  <c r="AW29" i="15"/>
  <c r="AZ29" i="15" s="1"/>
  <c r="AT29" i="15"/>
  <c r="AS29" i="15"/>
  <c r="AR29" i="15"/>
  <c r="AQ29" i="15"/>
  <c r="AN29" i="15"/>
  <c r="AM29" i="15"/>
  <c r="AL29" i="15"/>
  <c r="AO29" i="15" s="1"/>
  <c r="AJ29" i="15"/>
  <c r="AI29" i="15"/>
  <c r="AH29" i="15"/>
  <c r="AG29" i="15"/>
  <c r="AD29" i="15"/>
  <c r="AC29" i="15"/>
  <c r="AB29" i="15"/>
  <c r="AE29" i="15" s="1"/>
  <c r="S28" i="15"/>
  <c r="R28" i="15"/>
  <c r="Q28" i="15"/>
  <c r="P28" i="15"/>
  <c r="S27" i="15"/>
  <c r="R27" i="15"/>
  <c r="Q27" i="15"/>
  <c r="P27" i="15"/>
  <c r="S26" i="15"/>
  <c r="R26" i="15"/>
  <c r="Q26" i="15"/>
  <c r="P26" i="15"/>
  <c r="N26" i="15"/>
  <c r="M26" i="15"/>
  <c r="L26" i="15"/>
  <c r="K26" i="15"/>
  <c r="N25" i="15"/>
  <c r="P24" i="15"/>
  <c r="N24" i="15"/>
  <c r="M24" i="15"/>
  <c r="L24" i="15"/>
  <c r="AN23" i="15"/>
  <c r="AN26" i="15" s="1"/>
  <c r="AM23" i="15"/>
  <c r="AM26" i="15" s="1"/>
  <c r="AL23" i="15"/>
  <c r="AL26" i="15" s="1"/>
  <c r="P23" i="15"/>
  <c r="N23" i="15"/>
  <c r="M23" i="15"/>
  <c r="L23" i="15"/>
  <c r="S23" i="15"/>
  <c r="S22" i="15"/>
  <c r="L22" i="15"/>
  <c r="K22" i="15"/>
  <c r="R22" i="15"/>
  <c r="M21" i="15"/>
  <c r="L21" i="15"/>
  <c r="S21" i="15"/>
  <c r="AI15" i="15"/>
  <c r="AH15" i="15"/>
  <c r="AG15" i="15"/>
  <c r="AD15" i="15"/>
  <c r="AE15" i="15" s="1"/>
  <c r="AC15" i="15"/>
  <c r="AB15" i="15"/>
  <c r="R15" i="15"/>
  <c r="M15" i="15"/>
  <c r="N15" i="15"/>
  <c r="F14" i="15"/>
  <c r="AJ13" i="15"/>
  <c r="AI13" i="15"/>
  <c r="AH13" i="15"/>
  <c r="AG13" i="15"/>
  <c r="AD13" i="15"/>
  <c r="AE13" i="15" s="1"/>
  <c r="AC13" i="15"/>
  <c r="AB13" i="15"/>
  <c r="AI12" i="15"/>
  <c r="AH12" i="15"/>
  <c r="AG12" i="15"/>
  <c r="AJ12" i="15" s="1"/>
  <c r="AD12" i="15"/>
  <c r="AC12" i="15"/>
  <c r="AB12" i="15"/>
  <c r="AE12" i="15" s="1"/>
  <c r="S12" i="15"/>
  <c r="CI12" i="15" s="1"/>
  <c r="R12" i="15"/>
  <c r="CD12" i="15" s="1"/>
  <c r="Q12" i="15"/>
  <c r="BY12" i="15" s="1"/>
  <c r="P12" i="15"/>
  <c r="N12" i="15"/>
  <c r="BN12" i="15" s="1"/>
  <c r="M12" i="15"/>
  <c r="BI12" i="15" s="1"/>
  <c r="L12" i="15"/>
  <c r="BD12" i="15" s="1"/>
  <c r="K12" i="15"/>
  <c r="AW12" i="15" s="1"/>
  <c r="I12" i="15"/>
  <c r="AS12" i="15" s="1"/>
  <c r="H12" i="15"/>
  <c r="AL12" i="15" s="1"/>
  <c r="AI11" i="15"/>
  <c r="AH11" i="15"/>
  <c r="AG11" i="15"/>
  <c r="AJ11" i="15" s="1"/>
  <c r="AD11" i="15"/>
  <c r="AC11" i="15"/>
  <c r="AB11" i="15"/>
  <c r="AE11" i="15" s="1"/>
  <c r="S11" i="15"/>
  <c r="CI11" i="15" s="1"/>
  <c r="P11" i="15"/>
  <c r="BR11" i="15" s="1"/>
  <c r="K11" i="15"/>
  <c r="AW11" i="15" s="1"/>
  <c r="H11" i="15"/>
  <c r="AL11" i="15" s="1"/>
  <c r="N11" i="15"/>
  <c r="AI10" i="15"/>
  <c r="AH10" i="15"/>
  <c r="AG10" i="15"/>
  <c r="AJ10" i="15" s="1"/>
  <c r="AD10" i="15"/>
  <c r="AC10" i="15"/>
  <c r="AB10" i="15"/>
  <c r="AE10" i="15" s="1"/>
  <c r="Q10" i="15"/>
  <c r="L10" i="15"/>
  <c r="BD10" i="15" s="1"/>
  <c r="I10" i="15"/>
  <c r="P10" i="15"/>
  <c r="AI9" i="15"/>
  <c r="AH9" i="15"/>
  <c r="AJ9" i="15" s="1"/>
  <c r="AG9" i="15"/>
  <c r="AD9" i="15"/>
  <c r="AE9" i="15" s="1"/>
  <c r="AC9" i="15"/>
  <c r="AB9" i="15"/>
  <c r="R9" i="15"/>
  <c r="CD9" i="15" s="1"/>
  <c r="M9" i="15"/>
  <c r="BH9" i="15" s="1"/>
  <c r="Q9" i="15"/>
  <c r="Z8" i="15"/>
  <c r="F8" i="15"/>
  <c r="AS7" i="15"/>
  <c r="AR7" i="15"/>
  <c r="AQ7" i="15"/>
  <c r="AT7" i="15" s="1"/>
  <c r="AN7" i="15"/>
  <c r="AM7" i="15"/>
  <c r="AL7" i="15"/>
  <c r="AO7" i="15" s="1"/>
  <c r="AI7" i="15"/>
  <c r="AH7" i="15"/>
  <c r="AG7" i="15"/>
  <c r="AJ7" i="15" s="1"/>
  <c r="AE7" i="15"/>
  <c r="AD7" i="15"/>
  <c r="AC7" i="15"/>
  <c r="AB7" i="15"/>
  <c r="J7" i="15"/>
  <c r="AI6" i="15"/>
  <c r="AH6" i="15"/>
  <c r="AG6" i="15"/>
  <c r="AJ6" i="15" s="1"/>
  <c r="AD6" i="15"/>
  <c r="AC6" i="15"/>
  <c r="AE6" i="15" s="1"/>
  <c r="AB6" i="15"/>
  <c r="AJ5" i="15"/>
  <c r="AI5" i="15"/>
  <c r="AH5" i="15"/>
  <c r="AG5" i="15"/>
  <c r="AD5" i="15"/>
  <c r="AE5" i="15" s="1"/>
  <c r="AC5" i="15"/>
  <c r="AB5" i="15"/>
  <c r="AI4" i="15"/>
  <c r="AH4" i="15"/>
  <c r="AG4" i="15"/>
  <c r="AJ4" i="15" s="1"/>
  <c r="AD4" i="15"/>
  <c r="G4" i="15"/>
  <c r="F4" i="15"/>
  <c r="AC4" i="15" s="1"/>
  <c r="H19" i="3"/>
  <c r="H20" i="3"/>
  <c r="D19" i="3"/>
  <c r="D20" i="3"/>
  <c r="J19" i="3"/>
  <c r="AZ12" i="22" l="1"/>
  <c r="CJ10" i="22"/>
  <c r="AO10" i="22"/>
  <c r="CJ13" i="22"/>
  <c r="AZ13" i="22"/>
  <c r="BO12" i="22"/>
  <c r="AO12" i="22"/>
  <c r="BE12" i="22"/>
  <c r="AT12" i="22"/>
  <c r="BZ11" i="22"/>
  <c r="BJ10" i="22"/>
  <c r="AT10" i="22"/>
  <c r="CJ9" i="22"/>
  <c r="BO13" i="22"/>
  <c r="BE11" i="22"/>
  <c r="BU13" i="22"/>
  <c r="BO10" i="22"/>
  <c r="AT11" i="22"/>
  <c r="AL25" i="22"/>
  <c r="AO22" i="22"/>
  <c r="BZ9" i="22"/>
  <c r="AT13" i="22"/>
  <c r="AO13" i="22"/>
  <c r="BE9" i="22"/>
  <c r="T38" i="22"/>
  <c r="AJ33" i="22"/>
  <c r="BZ15" i="22"/>
  <c r="AD8" i="22"/>
  <c r="AC8" i="22"/>
  <c r="AB8" i="22"/>
  <c r="AT9" i="22"/>
  <c r="BU11" i="22"/>
  <c r="BO15" i="22"/>
  <c r="CE11" i="22"/>
  <c r="AW5" i="22"/>
  <c r="L5" i="22"/>
  <c r="AY5" i="22"/>
  <c r="AX5" i="22"/>
  <c r="BU10" i="22"/>
  <c r="O38" i="22"/>
  <c r="AO46" i="22"/>
  <c r="AT15" i="22"/>
  <c r="CE9" i="22"/>
  <c r="AY44" i="22"/>
  <c r="AW44" i="22"/>
  <c r="AX44" i="22"/>
  <c r="L44" i="22"/>
  <c r="AO11" i="22"/>
  <c r="BU9" i="22"/>
  <c r="J38" i="22"/>
  <c r="AE35" i="22"/>
  <c r="BZ13" i="22"/>
  <c r="BO11" i="22"/>
  <c r="AE14" i="22"/>
  <c r="CE10" i="22"/>
  <c r="BU12" i="22"/>
  <c r="BZ10" i="22"/>
  <c r="BJ9" i="22"/>
  <c r="BU33" i="21"/>
  <c r="AJ33" i="21"/>
  <c r="AO4" i="21"/>
  <c r="AE41" i="21"/>
  <c r="CJ36" i="21"/>
  <c r="AO36" i="21"/>
  <c r="BZ13" i="21"/>
  <c r="CE13" i="21"/>
  <c r="AO13" i="21"/>
  <c r="CJ13" i="21"/>
  <c r="BU13" i="21"/>
  <c r="BU12" i="21"/>
  <c r="CE12" i="21"/>
  <c r="BO11" i="21"/>
  <c r="BE11" i="21"/>
  <c r="BJ38" i="21"/>
  <c r="K44" i="21"/>
  <c r="AR44" i="21"/>
  <c r="AS44" i="21"/>
  <c r="AQ44" i="21"/>
  <c r="AZ46" i="21"/>
  <c r="AT46" i="21"/>
  <c r="BZ38" i="21"/>
  <c r="T38" i="21" s="1"/>
  <c r="BZ33" i="21"/>
  <c r="CE15" i="21"/>
  <c r="O38" i="21"/>
  <c r="BO15" i="21"/>
  <c r="AL25" i="21"/>
  <c r="AO22" i="21"/>
  <c r="BU9" i="21"/>
  <c r="AE14" i="21"/>
  <c r="AT5" i="21"/>
  <c r="AD8" i="21"/>
  <c r="AC8" i="21"/>
  <c r="AB8" i="21"/>
  <c r="AJ38" i="21"/>
  <c r="J38" i="21" s="1"/>
  <c r="J44" i="21"/>
  <c r="AT38" i="21"/>
  <c r="CE35" i="21"/>
  <c r="T35" i="21" s="1"/>
  <c r="BE12" i="21"/>
  <c r="AJ36" i="21"/>
  <c r="AO44" i="21"/>
  <c r="BU36" i="21"/>
  <c r="T36" i="21" s="1"/>
  <c r="BD5" i="21"/>
  <c r="BC5" i="21"/>
  <c r="M5" i="21"/>
  <c r="BB5" i="21"/>
  <c r="BE5" i="21" s="1"/>
  <c r="AQ44" i="20"/>
  <c r="AS44" i="20"/>
  <c r="AZ15" i="20"/>
  <c r="AT15" i="20"/>
  <c r="BU15" i="20"/>
  <c r="CJ13" i="20"/>
  <c r="BE12" i="20"/>
  <c r="CE12" i="20"/>
  <c r="BJ12" i="20"/>
  <c r="BU12" i="20"/>
  <c r="BJ11" i="20"/>
  <c r="AZ10" i="20"/>
  <c r="BE9" i="20"/>
  <c r="BZ13" i="20"/>
  <c r="AZ13" i="20"/>
  <c r="AO13" i="20"/>
  <c r="AT13" i="20"/>
  <c r="AT12" i="20"/>
  <c r="BO11" i="20"/>
  <c r="BU11" i="20"/>
  <c r="BO10" i="20"/>
  <c r="BU10" i="20"/>
  <c r="BZ10" i="20"/>
  <c r="AO9" i="20"/>
  <c r="AZ38" i="20"/>
  <c r="AO38" i="20"/>
  <c r="AE38" i="20"/>
  <c r="J38" i="20" s="1"/>
  <c r="AL25" i="20"/>
  <c r="AO22" i="20"/>
  <c r="BO13" i="20"/>
  <c r="CJ11" i="20"/>
  <c r="BE10" i="20"/>
  <c r="AZ12" i="20"/>
  <c r="AO15" i="20"/>
  <c r="CJ9" i="20"/>
  <c r="L44" i="20"/>
  <c r="AY44" i="20"/>
  <c r="AX44" i="20"/>
  <c r="AW44" i="20"/>
  <c r="AO46" i="20"/>
  <c r="AJ33" i="20"/>
  <c r="BE13" i="20"/>
  <c r="BZ11" i="20"/>
  <c r="AT10" i="20"/>
  <c r="AO12" i="20"/>
  <c r="AZ9" i="20"/>
  <c r="K5" i="20"/>
  <c r="AS5" i="20"/>
  <c r="AR5" i="20"/>
  <c r="AQ5" i="20"/>
  <c r="AD8" i="20"/>
  <c r="AC8" i="20"/>
  <c r="AB8" i="20"/>
  <c r="CE38" i="20"/>
  <c r="CJ12" i="20"/>
  <c r="BE11" i="20"/>
  <c r="BZ15" i="20"/>
  <c r="AE14" i="20"/>
  <c r="AZ11" i="20"/>
  <c r="BU38" i="20"/>
  <c r="AE35" i="20"/>
  <c r="BZ12" i="20"/>
  <c r="AT11" i="20"/>
  <c r="BO15" i="20"/>
  <c r="BU13" i="20"/>
  <c r="AO11" i="20"/>
  <c r="AO5" i="20"/>
  <c r="BJ38" i="20"/>
  <c r="BO12" i="20"/>
  <c r="CJ10" i="20"/>
  <c r="BU9" i="20"/>
  <c r="AO4" i="20"/>
  <c r="AO15" i="18"/>
  <c r="AQ5" i="18"/>
  <c r="AR5" i="18"/>
  <c r="AS5" i="18"/>
  <c r="BB44" i="18"/>
  <c r="BD44" i="18"/>
  <c r="BC44" i="18"/>
  <c r="M44" i="18"/>
  <c r="BE11" i="18"/>
  <c r="CE38" i="18"/>
  <c r="BZ12" i="18"/>
  <c r="BO9" i="18"/>
  <c r="AZ11" i="18"/>
  <c r="BJ38" i="18"/>
  <c r="BO38" i="18"/>
  <c r="CJ38" i="18"/>
  <c r="T38" i="18" s="1"/>
  <c r="BE12" i="18"/>
  <c r="BZ10" i="18"/>
  <c r="AZ13" i="18"/>
  <c r="AW5" i="18"/>
  <c r="L5" i="18"/>
  <c r="AY5" i="18"/>
  <c r="AX5" i="18"/>
  <c r="AO38" i="18"/>
  <c r="AZ38" i="18"/>
  <c r="AJ38" i="18"/>
  <c r="T29" i="18"/>
  <c r="BJ12" i="18"/>
  <c r="BJ10" i="18"/>
  <c r="BO10" i="18"/>
  <c r="BZ15" i="18"/>
  <c r="CJ12" i="18"/>
  <c r="CJ10" i="18"/>
  <c r="CJ9" i="18"/>
  <c r="J38" i="18"/>
  <c r="BE9" i="18"/>
  <c r="AZ44" i="18"/>
  <c r="O29" i="18"/>
  <c r="J29" i="18"/>
  <c r="BO13" i="18"/>
  <c r="BE10" i="18"/>
  <c r="CJ11" i="18"/>
  <c r="AB17" i="18"/>
  <c r="AE8" i="18"/>
  <c r="AE33" i="18"/>
  <c r="BE13" i="18"/>
  <c r="AL28" i="18"/>
  <c r="AO28" i="18" s="1"/>
  <c r="AO25" i="18"/>
  <c r="AJ36" i="18"/>
  <c r="BU13" i="18"/>
  <c r="BU11" i="18"/>
  <c r="BU9" i="18"/>
  <c r="AT13" i="18"/>
  <c r="BO11" i="18"/>
  <c r="AT15" i="18"/>
  <c r="CJ13" i="18"/>
  <c r="AZ10" i="18"/>
  <c r="BJ15" i="18"/>
  <c r="AE33" i="16"/>
  <c r="AT13" i="16"/>
  <c r="AZ13" i="16"/>
  <c r="BO13" i="16"/>
  <c r="CE12" i="16"/>
  <c r="CJ12" i="16"/>
  <c r="CE11" i="16"/>
  <c r="AZ10" i="16"/>
  <c r="CE9" i="16"/>
  <c r="BJ10" i="16"/>
  <c r="AO9" i="16"/>
  <c r="AO4" i="16"/>
  <c r="BJ9" i="16"/>
  <c r="BE10" i="16"/>
  <c r="AJ36" i="16"/>
  <c r="BU13" i="16"/>
  <c r="AT12" i="16"/>
  <c r="AO5" i="16"/>
  <c r="AZ12" i="16"/>
  <c r="AZ9" i="16"/>
  <c r="BE13" i="16"/>
  <c r="AO11" i="16"/>
  <c r="AG36" i="15"/>
  <c r="I5" i="15"/>
  <c r="J5" i="15" s="1"/>
  <c r="AD35" i="15"/>
  <c r="CH38" i="15"/>
  <c r="V38" i="15"/>
  <c r="X38" i="15"/>
  <c r="W38" i="15"/>
  <c r="AT15" i="16"/>
  <c r="BZ15" i="16"/>
  <c r="BE38" i="16"/>
  <c r="CE15" i="16"/>
  <c r="CJ15" i="16"/>
  <c r="BE12" i="16"/>
  <c r="AT46" i="16"/>
  <c r="BO11" i="16"/>
  <c r="AT11" i="16"/>
  <c r="AQ44" i="16"/>
  <c r="AT44" i="16" s="1"/>
  <c r="K44" i="16"/>
  <c r="AR44" i="16"/>
  <c r="BO9" i="16"/>
  <c r="BJ38" i="16"/>
  <c r="CJ9" i="16"/>
  <c r="AO38" i="16"/>
  <c r="AS5" i="16"/>
  <c r="AR5" i="16"/>
  <c r="AQ5" i="16"/>
  <c r="K5" i="16"/>
  <c r="J5" i="16"/>
  <c r="BZ9" i="16"/>
  <c r="AE38" i="16"/>
  <c r="AJ38" i="16"/>
  <c r="AJ35" i="16"/>
  <c r="BO38" i="16"/>
  <c r="CE13" i="16"/>
  <c r="BJ15" i="16"/>
  <c r="CJ10" i="16"/>
  <c r="AT9" i="16"/>
  <c r="AZ15" i="16"/>
  <c r="AO22" i="16"/>
  <c r="AL25" i="16"/>
  <c r="AO44" i="16"/>
  <c r="AT38" i="16"/>
  <c r="AJ33" i="16"/>
  <c r="AO13" i="16"/>
  <c r="AO15" i="16"/>
  <c r="CJ13" i="16"/>
  <c r="AB8" i="16"/>
  <c r="AD8" i="16"/>
  <c r="AC8" i="16"/>
  <c r="CE38" i="16"/>
  <c r="CJ11" i="16"/>
  <c r="AT10" i="16"/>
  <c r="BU38" i="16"/>
  <c r="AZ38" i="16"/>
  <c r="BJ13" i="16"/>
  <c r="AO12" i="16"/>
  <c r="BO12" i="16"/>
  <c r="BJ12" i="16"/>
  <c r="BZ11" i="16"/>
  <c r="BZ12" i="16"/>
  <c r="AN5" i="15"/>
  <c r="AM5" i="15"/>
  <c r="AG38" i="15"/>
  <c r="AR38" i="15"/>
  <c r="AT38" i="15" s="1"/>
  <c r="BL38" i="15"/>
  <c r="AQ38" i="15"/>
  <c r="BI9" i="15"/>
  <c r="AR46" i="15"/>
  <c r="AM44" i="15"/>
  <c r="AN44" i="15"/>
  <c r="H4" i="15"/>
  <c r="AL4" i="15" s="1"/>
  <c r="AB36" i="15"/>
  <c r="AH33" i="15"/>
  <c r="AH38" i="15"/>
  <c r="AJ38" i="15" s="1"/>
  <c r="BM38" i="15"/>
  <c r="O12" i="15"/>
  <c r="AM38" i="15"/>
  <c r="BS38" i="15"/>
  <c r="AG46" i="15"/>
  <c r="AC36" i="15"/>
  <c r="BW38" i="15"/>
  <c r="AH46" i="15"/>
  <c r="BG12" i="15"/>
  <c r="BB38" i="15"/>
  <c r="BE38" i="15" s="1"/>
  <c r="CG38" i="15"/>
  <c r="CC38" i="15"/>
  <c r="CB12" i="15"/>
  <c r="BC38" i="15"/>
  <c r="BR10" i="15"/>
  <c r="BT10" i="15"/>
  <c r="BS10" i="15"/>
  <c r="CC9" i="15"/>
  <c r="CB9" i="15"/>
  <c r="AS10" i="15"/>
  <c r="AR10" i="15"/>
  <c r="AQ10" i="15"/>
  <c r="BN11" i="15"/>
  <c r="BM11" i="15"/>
  <c r="BL11" i="15"/>
  <c r="AN11" i="15"/>
  <c r="AM11" i="15"/>
  <c r="AO11" i="15" s="1"/>
  <c r="T12" i="15"/>
  <c r="BT12" i="15"/>
  <c r="BS12" i="15"/>
  <c r="BR12" i="15"/>
  <c r="AD8" i="15"/>
  <c r="AC8" i="15"/>
  <c r="AB8" i="15"/>
  <c r="BY10" i="15"/>
  <c r="BX10" i="15"/>
  <c r="BW10" i="15"/>
  <c r="BH15" i="15"/>
  <c r="BG15" i="15"/>
  <c r="BI15" i="15"/>
  <c r="BT11" i="15"/>
  <c r="BS11" i="15"/>
  <c r="BU11" i="15" s="1"/>
  <c r="AN12" i="15"/>
  <c r="J12" i="15"/>
  <c r="AM12" i="15"/>
  <c r="N13" i="15"/>
  <c r="M13" i="15"/>
  <c r="L13" i="15"/>
  <c r="S13" i="15"/>
  <c r="K13" i="15"/>
  <c r="R13" i="15"/>
  <c r="Q13" i="15"/>
  <c r="I13" i="15"/>
  <c r="P13" i="15"/>
  <c r="H13" i="15"/>
  <c r="AB4" i="15"/>
  <c r="AE4" i="15" s="1"/>
  <c r="BY9" i="15"/>
  <c r="BX9" i="15"/>
  <c r="BW9" i="15"/>
  <c r="AD14" i="15"/>
  <c r="AC14" i="15"/>
  <c r="AB14" i="15"/>
  <c r="BN15" i="15"/>
  <c r="BM15" i="15"/>
  <c r="BL15" i="15"/>
  <c r="AL5" i="15"/>
  <c r="K9" i="15"/>
  <c r="S9" i="15"/>
  <c r="R10" i="15"/>
  <c r="I11" i="15"/>
  <c r="J11" i="15" s="1"/>
  <c r="Q11" i="15"/>
  <c r="AX11" i="15"/>
  <c r="AX12" i="15"/>
  <c r="BH12" i="15"/>
  <c r="BJ12" i="15" s="1"/>
  <c r="CC12" i="15"/>
  <c r="L9" i="15"/>
  <c r="K10" i="15"/>
  <c r="S10" i="15"/>
  <c r="R11" i="15"/>
  <c r="AY11" i="15"/>
  <c r="AY12" i="15"/>
  <c r="BB10" i="15"/>
  <c r="CC15" i="15"/>
  <c r="CB15" i="15"/>
  <c r="N9" i="15"/>
  <c r="M10" i="15"/>
  <c r="BC10" i="15"/>
  <c r="L11" i="15"/>
  <c r="CG11" i="15"/>
  <c r="AQ12" i="15"/>
  <c r="BB12" i="15"/>
  <c r="BL12" i="15"/>
  <c r="BW12" i="15"/>
  <c r="CG12" i="15"/>
  <c r="Q15" i="15"/>
  <c r="I15" i="15"/>
  <c r="P15" i="15"/>
  <c r="H15" i="15"/>
  <c r="S15" i="15"/>
  <c r="CD15" i="15"/>
  <c r="N10" i="15"/>
  <c r="M11" i="15"/>
  <c r="CH11" i="15"/>
  <c r="AR12" i="15"/>
  <c r="BC12" i="15"/>
  <c r="BM12" i="15"/>
  <c r="BX12" i="15"/>
  <c r="CH12" i="15"/>
  <c r="AJ15" i="15"/>
  <c r="AR5" i="15"/>
  <c r="H9" i="15"/>
  <c r="P9" i="15"/>
  <c r="BG9" i="15"/>
  <c r="BJ9" i="15" s="1"/>
  <c r="K15" i="15"/>
  <c r="I9" i="15"/>
  <c r="H10" i="15"/>
  <c r="L15" i="15"/>
  <c r="N21" i="15"/>
  <c r="M22" i="15"/>
  <c r="P25" i="15"/>
  <c r="O29" i="15"/>
  <c r="N22" i="15"/>
  <c r="Q25" i="15"/>
  <c r="H21" i="15"/>
  <c r="P21" i="15"/>
  <c r="AO26" i="15"/>
  <c r="Q24" i="15"/>
  <c r="R25" i="15"/>
  <c r="J29" i="15"/>
  <c r="I21" i="15"/>
  <c r="Q21" i="15"/>
  <c r="H22" i="15"/>
  <c r="P22" i="15"/>
  <c r="Q23" i="15"/>
  <c r="R24" i="15"/>
  <c r="K25" i="15"/>
  <c r="S25" i="15"/>
  <c r="R21" i="15"/>
  <c r="I22" i="15"/>
  <c r="Q22" i="15"/>
  <c r="R23" i="15"/>
  <c r="K24" i="15"/>
  <c r="S24" i="15"/>
  <c r="L25" i="15"/>
  <c r="AD33" i="15"/>
  <c r="AC33" i="15"/>
  <c r="AB33" i="15"/>
  <c r="K21" i="15"/>
  <c r="K23" i="15"/>
  <c r="AO23" i="15"/>
  <c r="M25" i="15"/>
  <c r="CE29" i="15"/>
  <c r="T29" i="15" s="1"/>
  <c r="AI33" i="15"/>
  <c r="BX38" i="15"/>
  <c r="Z47" i="15"/>
  <c r="Z49" i="15" s="1"/>
  <c r="AG35" i="15"/>
  <c r="AH35" i="15"/>
  <c r="CI38" i="15"/>
  <c r="AY38" i="15"/>
  <c r="AW38" i="15"/>
  <c r="AJ46" i="15"/>
  <c r="AB35" i="15"/>
  <c r="AE35" i="15" s="1"/>
  <c r="AH36" i="15"/>
  <c r="AJ36" i="15" s="1"/>
  <c r="BI38" i="15"/>
  <c r="BG38" i="15"/>
  <c r="AX38" i="15"/>
  <c r="AE41" i="15"/>
  <c r="O46" i="15"/>
  <c r="AS46" i="15"/>
  <c r="AB38" i="15"/>
  <c r="AE38" i="15" s="1"/>
  <c r="AL38" i="15"/>
  <c r="BR38" i="15"/>
  <c r="BU38" i="15" s="1"/>
  <c r="CB38" i="15"/>
  <c r="CE38" i="15" s="1"/>
  <c r="AL46" i="15"/>
  <c r="AO46" i="15" s="1"/>
  <c r="AW46" i="15"/>
  <c r="AL44" i="15"/>
  <c r="AM46" i="15"/>
  <c r="AX46" i="15"/>
  <c r="I44" i="15"/>
  <c r="J46" i="15"/>
  <c r="AB17" i="22" l="1"/>
  <c r="AE8" i="22"/>
  <c r="AZ5" i="22"/>
  <c r="BD44" i="22"/>
  <c r="BC44" i="22"/>
  <c r="M44" i="22"/>
  <c r="BB44" i="22"/>
  <c r="BD5" i="22"/>
  <c r="BC5" i="22"/>
  <c r="M5" i="22"/>
  <c r="BB5" i="22"/>
  <c r="BE5" i="22" s="1"/>
  <c r="AL28" i="22"/>
  <c r="AO28" i="22" s="1"/>
  <c r="AO25" i="22"/>
  <c r="AZ44" i="22"/>
  <c r="T33" i="21"/>
  <c r="BI5" i="21"/>
  <c r="BH5" i="21"/>
  <c r="BG5" i="21"/>
  <c r="BJ5" i="21" s="1"/>
  <c r="N5" i="21"/>
  <c r="O5" i="21"/>
  <c r="AX44" i="21"/>
  <c r="AY44" i="21"/>
  <c r="AW44" i="21"/>
  <c r="L44" i="21"/>
  <c r="AB17" i="21"/>
  <c r="AE8" i="21"/>
  <c r="AO25" i="21"/>
  <c r="AL28" i="21"/>
  <c r="AO28" i="21" s="1"/>
  <c r="AT44" i="21"/>
  <c r="AT44" i="20"/>
  <c r="AT5" i="20"/>
  <c r="BB44" i="20"/>
  <c r="BD44" i="20"/>
  <c r="BC44" i="20"/>
  <c r="M44" i="20"/>
  <c r="AO25" i="20"/>
  <c r="AL28" i="20"/>
  <c r="AO28" i="20" s="1"/>
  <c r="AY5" i="20"/>
  <c r="AX5" i="20"/>
  <c r="AW5" i="20"/>
  <c r="L5" i="20"/>
  <c r="AB17" i="20"/>
  <c r="AE8" i="20"/>
  <c r="T38" i="20"/>
  <c r="AZ44" i="20"/>
  <c r="O38" i="20"/>
  <c r="AT5" i="18"/>
  <c r="AB18" i="18"/>
  <c r="BC5" i="18"/>
  <c r="M5" i="18"/>
  <c r="BB5" i="18"/>
  <c r="BD5" i="18"/>
  <c r="BI44" i="18"/>
  <c r="BH44" i="18"/>
  <c r="BG44" i="18"/>
  <c r="BJ44" i="18" s="1"/>
  <c r="N44" i="18"/>
  <c r="AZ5" i="18"/>
  <c r="O38" i="18"/>
  <c r="BE44" i="18"/>
  <c r="T38" i="16"/>
  <c r="AQ5" i="15"/>
  <c r="BZ38" i="15"/>
  <c r="AT46" i="15"/>
  <c r="BO38" i="15"/>
  <c r="CJ38" i="15"/>
  <c r="BJ38" i="15"/>
  <c r="T11" i="15"/>
  <c r="AO5" i="15"/>
  <c r="K5" i="15"/>
  <c r="AS5" i="15"/>
  <c r="AT5" i="15" s="1"/>
  <c r="O38" i="16"/>
  <c r="AX44" i="16"/>
  <c r="AW44" i="16"/>
  <c r="L44" i="16"/>
  <c r="AY44" i="16"/>
  <c r="AB17" i="16"/>
  <c r="AE8" i="16"/>
  <c r="AL28" i="16"/>
  <c r="AO28" i="16" s="1"/>
  <c r="AO25" i="16"/>
  <c r="J38" i="16"/>
  <c r="AX5" i="16"/>
  <c r="AW5" i="16"/>
  <c r="L5" i="16"/>
  <c r="AY5" i="16"/>
  <c r="AT5" i="16"/>
  <c r="CE12" i="15"/>
  <c r="AE14" i="15"/>
  <c r="CJ11" i="15"/>
  <c r="BZ10" i="15"/>
  <c r="BZ12" i="15"/>
  <c r="BO15" i="15"/>
  <c r="AE36" i="15"/>
  <c r="AM4" i="15"/>
  <c r="AN4" i="15"/>
  <c r="AZ12" i="15"/>
  <c r="BJ15" i="15"/>
  <c r="AO38" i="15"/>
  <c r="J38" i="15" s="1"/>
  <c r="AZ11" i="15"/>
  <c r="BZ9" i="15"/>
  <c r="AO12" i="15"/>
  <c r="AT10" i="15"/>
  <c r="AO44" i="15"/>
  <c r="T10" i="15"/>
  <c r="BS15" i="15"/>
  <c r="BR15" i="15"/>
  <c r="BT15" i="15"/>
  <c r="T15" i="15"/>
  <c r="D5" i="14" s="1"/>
  <c r="CI13" i="15"/>
  <c r="CH13" i="15"/>
  <c r="CG13" i="15"/>
  <c r="AM9" i="15"/>
  <c r="AL9" i="15"/>
  <c r="AN9" i="15"/>
  <c r="J9" i="15"/>
  <c r="AS15" i="15"/>
  <c r="AR15" i="15"/>
  <c r="AQ15" i="15"/>
  <c r="BD11" i="15"/>
  <c r="BC11" i="15"/>
  <c r="BB11" i="15"/>
  <c r="BD13" i="15"/>
  <c r="BC13" i="15"/>
  <c r="BB13" i="15"/>
  <c r="AE33" i="15"/>
  <c r="BY15" i="15"/>
  <c r="BX15" i="15"/>
  <c r="BW15" i="15"/>
  <c r="CD11" i="15"/>
  <c r="CC11" i="15"/>
  <c r="CB11" i="15"/>
  <c r="AN13" i="15"/>
  <c r="J13" i="15"/>
  <c r="AM13" i="15"/>
  <c r="AL13" i="15"/>
  <c r="BI13" i="15"/>
  <c r="BH13" i="15"/>
  <c r="BG13" i="15"/>
  <c r="BS9" i="15"/>
  <c r="BR9" i="15"/>
  <c r="T9" i="15"/>
  <c r="BT9" i="15"/>
  <c r="BB15" i="15"/>
  <c r="BD15" i="15"/>
  <c r="BC15" i="15"/>
  <c r="CJ12" i="15"/>
  <c r="BG10" i="15"/>
  <c r="BI10" i="15"/>
  <c r="BH10" i="15"/>
  <c r="CI10" i="15"/>
  <c r="CH10" i="15"/>
  <c r="CG10" i="15"/>
  <c r="T13" i="15"/>
  <c r="BT13" i="15"/>
  <c r="BS13" i="15"/>
  <c r="BR13" i="15"/>
  <c r="BN13" i="15"/>
  <c r="BM13" i="15"/>
  <c r="BL13" i="15"/>
  <c r="AB17" i="15"/>
  <c r="AE8" i="15"/>
  <c r="AX9" i="15"/>
  <c r="AW9" i="15"/>
  <c r="O9" i="15"/>
  <c r="AY9" i="15"/>
  <c r="AL10" i="15"/>
  <c r="AN10" i="15"/>
  <c r="J10" i="15"/>
  <c r="AM10" i="15"/>
  <c r="BN9" i="15"/>
  <c r="BM9" i="15"/>
  <c r="BL9" i="15"/>
  <c r="AW10" i="15"/>
  <c r="O10" i="15"/>
  <c r="AY10" i="15"/>
  <c r="AX10" i="15"/>
  <c r="BY11" i="15"/>
  <c r="BX11" i="15"/>
  <c r="BW11" i="15"/>
  <c r="AS13" i="15"/>
  <c r="AR13" i="15"/>
  <c r="AQ13" i="15"/>
  <c r="AN22" i="15"/>
  <c r="AN25" i="15" s="1"/>
  <c r="AN28" i="15" s="1"/>
  <c r="AM22" i="15"/>
  <c r="AM25" i="15" s="1"/>
  <c r="AM28" i="15" s="1"/>
  <c r="AL22" i="15"/>
  <c r="AZ38" i="15"/>
  <c r="O38" i="15" s="1"/>
  <c r="AS9" i="15"/>
  <c r="AR9" i="15"/>
  <c r="AQ9" i="15"/>
  <c r="BO12" i="15"/>
  <c r="CE15" i="15"/>
  <c r="BD9" i="15"/>
  <c r="BC9" i="15"/>
  <c r="BB9" i="15"/>
  <c r="AS11" i="15"/>
  <c r="AR11" i="15"/>
  <c r="AQ11" i="15"/>
  <c r="BY13" i="15"/>
  <c r="BX13" i="15"/>
  <c r="BW13" i="15"/>
  <c r="BU10" i="15"/>
  <c r="AZ46" i="15"/>
  <c r="AJ35" i="15"/>
  <c r="T38" i="15"/>
  <c r="AX15" i="15"/>
  <c r="AW15" i="15"/>
  <c r="AY15" i="15"/>
  <c r="O15" i="15"/>
  <c r="C5" i="14" s="1"/>
  <c r="BI11" i="15"/>
  <c r="BH11" i="15"/>
  <c r="BG11" i="15"/>
  <c r="CH15" i="15"/>
  <c r="CG15" i="15"/>
  <c r="CI15" i="15"/>
  <c r="BE12" i="15"/>
  <c r="CB10" i="15"/>
  <c r="CD10" i="15"/>
  <c r="CC10" i="15"/>
  <c r="CD13" i="15"/>
  <c r="CC13" i="15"/>
  <c r="CB13" i="15"/>
  <c r="AQ44" i="15"/>
  <c r="K44" i="15"/>
  <c r="J44" i="15"/>
  <c r="AS44" i="15"/>
  <c r="AR44" i="15"/>
  <c r="AJ33" i="15"/>
  <c r="BN10" i="15"/>
  <c r="BM10" i="15"/>
  <c r="BL10" i="15"/>
  <c r="AM15" i="15"/>
  <c r="AL15" i="15"/>
  <c r="J15" i="15"/>
  <c r="B5" i="14" s="1"/>
  <c r="AN15" i="15"/>
  <c r="AT12" i="15"/>
  <c r="BE10" i="15"/>
  <c r="CI9" i="15"/>
  <c r="CH9" i="15"/>
  <c r="CG9" i="15"/>
  <c r="AY13" i="15"/>
  <c r="AX13" i="15"/>
  <c r="AW13" i="15"/>
  <c r="O13" i="15"/>
  <c r="O11" i="15"/>
  <c r="BU12" i="15"/>
  <c r="BO11" i="15"/>
  <c r="CE9" i="15"/>
  <c r="BG5" i="22" l="1"/>
  <c r="N5" i="22"/>
  <c r="BI5" i="22"/>
  <c r="BH5" i="22"/>
  <c r="BE44" i="22"/>
  <c r="AB18" i="22"/>
  <c r="BI44" i="22"/>
  <c r="BG44" i="22"/>
  <c r="N44" i="22"/>
  <c r="BH44" i="22"/>
  <c r="O5" i="22"/>
  <c r="P5" i="21"/>
  <c r="BN5" i="21"/>
  <c r="BM5" i="21"/>
  <c r="BL5" i="21"/>
  <c r="AB18" i="21"/>
  <c r="BC44" i="21"/>
  <c r="M44" i="21"/>
  <c r="BD44" i="21"/>
  <c r="BB44" i="21"/>
  <c r="AZ44" i="21"/>
  <c r="AZ5" i="20"/>
  <c r="BD5" i="20"/>
  <c r="BC5" i="20"/>
  <c r="M5" i="20"/>
  <c r="BB5" i="20"/>
  <c r="BE5" i="20" s="1"/>
  <c r="BI44" i="20"/>
  <c r="BH44" i="20"/>
  <c r="BG44" i="20"/>
  <c r="BJ44" i="20" s="1"/>
  <c r="N44" i="20"/>
  <c r="O44" i="20" s="1"/>
  <c r="BE44" i="20"/>
  <c r="AB18" i="20"/>
  <c r="BG5" i="18"/>
  <c r="N5" i="18"/>
  <c r="BI5" i="18"/>
  <c r="BH5" i="18"/>
  <c r="BL44" i="18"/>
  <c r="P44" i="18"/>
  <c r="BN44" i="18"/>
  <c r="BM44" i="18"/>
  <c r="O44" i="18"/>
  <c r="AB27" i="18"/>
  <c r="AB28" i="18"/>
  <c r="AB26" i="18"/>
  <c r="AB22" i="18"/>
  <c r="AB21" i="18"/>
  <c r="AB24" i="18"/>
  <c r="AB16" i="18"/>
  <c r="AB25" i="18"/>
  <c r="AB23" i="18"/>
  <c r="AC17" i="18"/>
  <c r="BE5" i="18"/>
  <c r="AT13" i="15"/>
  <c r="BO10" i="15"/>
  <c r="AO4" i="15"/>
  <c r="L5" i="15"/>
  <c r="AY5" i="15"/>
  <c r="AX5" i="15"/>
  <c r="AW5" i="15"/>
  <c r="AZ5" i="15" s="1"/>
  <c r="BC44" i="16"/>
  <c r="BB44" i="16"/>
  <c r="BD44" i="16"/>
  <c r="M44" i="16"/>
  <c r="AZ44" i="16"/>
  <c r="AZ5" i="16"/>
  <c r="AB18" i="16"/>
  <c r="BD5" i="16"/>
  <c r="BC5" i="16"/>
  <c r="M5" i="16"/>
  <c r="BB5" i="16"/>
  <c r="BZ13" i="15"/>
  <c r="BE11" i="15"/>
  <c r="CJ9" i="15"/>
  <c r="CE13" i="15"/>
  <c r="CJ15" i="15"/>
  <c r="AT11" i="15"/>
  <c r="AT9" i="15"/>
  <c r="CJ13" i="15"/>
  <c r="BJ11" i="15"/>
  <c r="BE13" i="15"/>
  <c r="AB18" i="15"/>
  <c r="CJ10" i="15"/>
  <c r="BZ15" i="15"/>
  <c r="BO13" i="15"/>
  <c r="BE15" i="15"/>
  <c r="AO13" i="15"/>
  <c r="AO10" i="15"/>
  <c r="AZ10" i="15"/>
  <c r="AO9" i="15"/>
  <c r="L44" i="15"/>
  <c r="AY44" i="15"/>
  <c r="AX44" i="15"/>
  <c r="AW44" i="15"/>
  <c r="CE10" i="15"/>
  <c r="BO9" i="15"/>
  <c r="BU13" i="15"/>
  <c r="BU9" i="15"/>
  <c r="BU15" i="15"/>
  <c r="AL25" i="15"/>
  <c r="AO22" i="15"/>
  <c r="AO15" i="15"/>
  <c r="BE9" i="15"/>
  <c r="BZ11" i="15"/>
  <c r="AZ9" i="15"/>
  <c r="BJ10" i="15"/>
  <c r="CE11" i="15"/>
  <c r="AT15" i="15"/>
  <c r="AT44" i="15"/>
  <c r="AZ13" i="15"/>
  <c r="AZ15" i="15"/>
  <c r="BJ13" i="15"/>
  <c r="P5" i="22" l="1"/>
  <c r="BN5" i="22"/>
  <c r="BM5" i="22"/>
  <c r="BL5" i="22"/>
  <c r="BO5" i="22" s="1"/>
  <c r="AB28" i="22"/>
  <c r="AB27" i="22"/>
  <c r="AB26" i="22"/>
  <c r="AB25" i="22"/>
  <c r="AB22" i="22"/>
  <c r="AB21" i="22"/>
  <c r="AB23" i="22"/>
  <c r="AB24" i="22"/>
  <c r="AB16" i="22"/>
  <c r="AC17" i="22"/>
  <c r="P44" i="22"/>
  <c r="BN44" i="22"/>
  <c r="BM44" i="22"/>
  <c r="BL44" i="22"/>
  <c r="BO44" i="22" s="1"/>
  <c r="O44" i="22"/>
  <c r="BJ44" i="22"/>
  <c r="BJ5" i="22"/>
  <c r="AB28" i="21"/>
  <c r="AB24" i="21"/>
  <c r="AB27" i="21"/>
  <c r="AB25" i="21"/>
  <c r="AB26" i="21"/>
  <c r="AB22" i="21"/>
  <c r="AB21" i="21"/>
  <c r="AB23" i="21"/>
  <c r="AB16" i="21"/>
  <c r="AC17" i="21"/>
  <c r="AC18" i="21" s="1"/>
  <c r="BH44" i="21"/>
  <c r="BG44" i="21"/>
  <c r="N44" i="21"/>
  <c r="BI44" i="21"/>
  <c r="O44" i="21"/>
  <c r="BO5" i="21"/>
  <c r="BE44" i="21"/>
  <c r="BT5" i="21"/>
  <c r="BS5" i="21"/>
  <c r="Q5" i="21"/>
  <c r="BR5" i="21"/>
  <c r="AB27" i="20"/>
  <c r="AB25" i="20"/>
  <c r="AB26" i="20"/>
  <c r="AB28" i="20"/>
  <c r="AC18" i="20"/>
  <c r="AB24" i="20"/>
  <c r="AB22" i="20"/>
  <c r="AB21" i="20"/>
  <c r="AB23" i="20"/>
  <c r="AB16" i="20"/>
  <c r="AC17" i="20"/>
  <c r="BI5" i="20"/>
  <c r="BH5" i="20"/>
  <c r="BG5" i="20"/>
  <c r="BJ5" i="20" s="1"/>
  <c r="N5" i="20"/>
  <c r="BL44" i="20"/>
  <c r="BO44" i="20" s="1"/>
  <c r="P44" i="20"/>
  <c r="BN44" i="20"/>
  <c r="BM44" i="20"/>
  <c r="BO44" i="18"/>
  <c r="AB30" i="18"/>
  <c r="BT44" i="18"/>
  <c r="BS44" i="18"/>
  <c r="Q44" i="18"/>
  <c r="BR44" i="18"/>
  <c r="AC18" i="18"/>
  <c r="P5" i="18"/>
  <c r="BN5" i="18"/>
  <c r="BM5" i="18"/>
  <c r="BL5" i="18"/>
  <c r="BO5" i="18" s="1"/>
  <c r="O5" i="18"/>
  <c r="BJ5" i="18"/>
  <c r="M5" i="15"/>
  <c r="BB5" i="15"/>
  <c r="BD5" i="15"/>
  <c r="BC5" i="15"/>
  <c r="BE44" i="16"/>
  <c r="BI44" i="16"/>
  <c r="BG44" i="16"/>
  <c r="BH44" i="16"/>
  <c r="N44" i="16"/>
  <c r="BE5" i="16"/>
  <c r="BH5" i="16"/>
  <c r="BG5" i="16"/>
  <c r="N5" i="16"/>
  <c r="BI5" i="16"/>
  <c r="O5" i="16"/>
  <c r="AB26" i="16"/>
  <c r="AB28" i="16"/>
  <c r="AB27" i="16"/>
  <c r="AB23" i="16"/>
  <c r="AB24" i="16"/>
  <c r="AB16" i="16"/>
  <c r="AB25" i="16"/>
  <c r="AB22" i="16"/>
  <c r="AB21" i="16"/>
  <c r="AC17" i="16"/>
  <c r="AZ44" i="15"/>
  <c r="BB44" i="15"/>
  <c r="BD44" i="15"/>
  <c r="BC44" i="15"/>
  <c r="M44" i="15"/>
  <c r="AB26" i="15"/>
  <c r="AB28" i="15"/>
  <c r="AB27" i="15"/>
  <c r="AB16" i="15"/>
  <c r="AB22" i="15"/>
  <c r="AB23" i="15"/>
  <c r="AB21" i="15"/>
  <c r="AB24" i="15"/>
  <c r="AB25" i="15"/>
  <c r="AC17" i="15"/>
  <c r="AL28" i="15"/>
  <c r="AO28" i="15" s="1"/>
  <c r="AO25" i="15"/>
  <c r="C4" i="12"/>
  <c r="B4" i="12"/>
  <c r="BT44" i="22" l="1"/>
  <c r="BR44" i="22"/>
  <c r="Q44" i="22"/>
  <c r="BS44" i="22"/>
  <c r="AC18" i="22"/>
  <c r="AB30" i="22"/>
  <c r="BR5" i="22"/>
  <c r="BT5" i="22"/>
  <c r="BS5" i="22"/>
  <c r="Q5" i="22"/>
  <c r="AC28" i="21"/>
  <c r="AC24" i="21"/>
  <c r="AC26" i="21"/>
  <c r="AC22" i="21"/>
  <c r="AC21" i="21"/>
  <c r="AC25" i="21"/>
  <c r="AC23" i="21"/>
  <c r="AC27" i="21"/>
  <c r="AC16" i="21"/>
  <c r="AD17" i="21"/>
  <c r="AD18" i="21" s="1"/>
  <c r="AB30" i="21"/>
  <c r="BU5" i="21"/>
  <c r="BM44" i="21"/>
  <c r="BN44" i="21"/>
  <c r="BL44" i="21"/>
  <c r="P44" i="21"/>
  <c r="R5" i="21"/>
  <c r="BY5" i="21"/>
  <c r="BX5" i="21"/>
  <c r="BW5" i="21"/>
  <c r="BJ44" i="21"/>
  <c r="AE17" i="21"/>
  <c r="F17" i="21" s="1"/>
  <c r="AB30" i="20"/>
  <c r="P5" i="20"/>
  <c r="BN5" i="20"/>
  <c r="BM5" i="20"/>
  <c r="BL5" i="20"/>
  <c r="O5" i="20"/>
  <c r="AC26" i="20"/>
  <c r="AC28" i="20"/>
  <c r="AC27" i="20"/>
  <c r="AC25" i="20"/>
  <c r="AD18" i="20"/>
  <c r="AC24" i="20"/>
  <c r="AC22" i="20"/>
  <c r="AC21" i="20"/>
  <c r="AC23" i="20"/>
  <c r="AC16" i="20"/>
  <c r="AD17" i="20"/>
  <c r="AE17" i="20"/>
  <c r="F17" i="20" s="1"/>
  <c r="BT44" i="20"/>
  <c r="BS44" i="20"/>
  <c r="Q44" i="20"/>
  <c r="BR44" i="20"/>
  <c r="BU44" i="20" s="1"/>
  <c r="AC27" i="18"/>
  <c r="AC23" i="18"/>
  <c r="AC24" i="18"/>
  <c r="AC28" i="18"/>
  <c r="AC25" i="18"/>
  <c r="AC26" i="18"/>
  <c r="AC22" i="18"/>
  <c r="AC21" i="18"/>
  <c r="AC16" i="18"/>
  <c r="AD18" i="18"/>
  <c r="AD17" i="18"/>
  <c r="AE17" i="18" s="1"/>
  <c r="F17" i="18" s="1"/>
  <c r="BR5" i="18"/>
  <c r="BT5" i="18"/>
  <c r="BS5" i="18"/>
  <c r="Q5" i="18"/>
  <c r="BU44" i="18"/>
  <c r="BW44" i="18"/>
  <c r="R44" i="18"/>
  <c r="BY44" i="18"/>
  <c r="BX44" i="18"/>
  <c r="BE5" i="15"/>
  <c r="BI5" i="15"/>
  <c r="N5" i="15"/>
  <c r="O5" i="15" s="1"/>
  <c r="BG5" i="15"/>
  <c r="BH5" i="15"/>
  <c r="P44" i="16"/>
  <c r="BM44" i="16"/>
  <c r="BN44" i="16"/>
  <c r="BL44" i="16"/>
  <c r="BJ44" i="16"/>
  <c r="O44" i="16"/>
  <c r="AB30" i="16"/>
  <c r="P5" i="16"/>
  <c r="BN5" i="16"/>
  <c r="BM5" i="16"/>
  <c r="BL5" i="16"/>
  <c r="AC18" i="16"/>
  <c r="BJ5" i="16"/>
  <c r="AC18" i="15"/>
  <c r="BI44" i="15"/>
  <c r="BH44" i="15"/>
  <c r="BG44" i="15"/>
  <c r="N44" i="15"/>
  <c r="O44" i="15" s="1"/>
  <c r="AB30" i="15"/>
  <c r="BE44" i="15"/>
  <c r="D25" i="12"/>
  <c r="V25" i="12" s="1"/>
  <c r="D24" i="12"/>
  <c r="L24" i="12" s="1"/>
  <c r="D23" i="12"/>
  <c r="X23" i="12" s="1"/>
  <c r="J7" i="12"/>
  <c r="T46" i="12"/>
  <c r="K46" i="12"/>
  <c r="O46" i="12" s="1"/>
  <c r="I46" i="12"/>
  <c r="AR46" i="12" s="1"/>
  <c r="H46" i="12"/>
  <c r="G46" i="12"/>
  <c r="F41" i="12"/>
  <c r="S38" i="12"/>
  <c r="V38" i="12" s="1"/>
  <c r="R38" i="12"/>
  <c r="CD38" i="12" s="1"/>
  <c r="Q38" i="12"/>
  <c r="P38" i="12"/>
  <c r="BS38" i="12" s="1"/>
  <c r="N38" i="12"/>
  <c r="BN38" i="12" s="1"/>
  <c r="M38" i="12"/>
  <c r="L38" i="12"/>
  <c r="BB38" i="12" s="1"/>
  <c r="K38" i="12"/>
  <c r="AY38" i="12" s="1"/>
  <c r="I38" i="12"/>
  <c r="AQ38" i="12" s="1"/>
  <c r="H38" i="12"/>
  <c r="AM38" i="12" s="1"/>
  <c r="G38" i="12"/>
  <c r="AG38" i="12" s="1"/>
  <c r="F38" i="12"/>
  <c r="G36" i="12"/>
  <c r="F36" i="12"/>
  <c r="AD36" i="12" s="1"/>
  <c r="G35" i="12"/>
  <c r="AI35" i="12" s="1"/>
  <c r="F35" i="12"/>
  <c r="AB35" i="12" s="1"/>
  <c r="G33" i="12"/>
  <c r="AI33" i="12" s="1"/>
  <c r="F33" i="12"/>
  <c r="AC33" i="12" s="1"/>
  <c r="X28" i="12"/>
  <c r="W28" i="12"/>
  <c r="V28" i="12"/>
  <c r="S28" i="12"/>
  <c r="R28" i="12"/>
  <c r="Q28" i="12"/>
  <c r="P28" i="12"/>
  <c r="X27" i="12"/>
  <c r="W27" i="12"/>
  <c r="V27" i="12"/>
  <c r="S27" i="12"/>
  <c r="R27" i="12"/>
  <c r="Q27" i="12"/>
  <c r="P27" i="12"/>
  <c r="X26" i="12"/>
  <c r="W26" i="12"/>
  <c r="V26" i="12"/>
  <c r="S26" i="12"/>
  <c r="R26" i="12"/>
  <c r="Q26" i="12"/>
  <c r="P26" i="12"/>
  <c r="N26" i="12"/>
  <c r="M26" i="12"/>
  <c r="L26" i="12"/>
  <c r="K26" i="12"/>
  <c r="X15" i="12"/>
  <c r="W15" i="12"/>
  <c r="V15" i="12"/>
  <c r="X13" i="12"/>
  <c r="W13" i="12"/>
  <c r="V13" i="12"/>
  <c r="X12" i="12"/>
  <c r="W12" i="12"/>
  <c r="V12" i="12"/>
  <c r="S12" i="12"/>
  <c r="CI12" i="12" s="1"/>
  <c r="R12" i="12"/>
  <c r="CD12" i="12" s="1"/>
  <c r="Q12" i="12"/>
  <c r="BY12" i="12" s="1"/>
  <c r="P12" i="12"/>
  <c r="BR12" i="12" s="1"/>
  <c r="N12" i="12"/>
  <c r="BL12" i="12" s="1"/>
  <c r="M12" i="12"/>
  <c r="BG12" i="12" s="1"/>
  <c r="L12" i="12"/>
  <c r="K12" i="12"/>
  <c r="I12" i="12"/>
  <c r="AS12" i="12" s="1"/>
  <c r="H12" i="12"/>
  <c r="X11" i="12"/>
  <c r="W11" i="12"/>
  <c r="V11" i="12"/>
  <c r="X10" i="12"/>
  <c r="W10" i="12"/>
  <c r="V10" i="12"/>
  <c r="X9" i="12"/>
  <c r="W9" i="12"/>
  <c r="V9" i="12"/>
  <c r="X5" i="12"/>
  <c r="W5" i="12"/>
  <c r="V5" i="12"/>
  <c r="S5" i="12"/>
  <c r="R5" i="12"/>
  <c r="Q5" i="12"/>
  <c r="P5" i="12"/>
  <c r="N5" i="12"/>
  <c r="M5" i="12"/>
  <c r="L5" i="12"/>
  <c r="K5" i="12"/>
  <c r="I5" i="12"/>
  <c r="H5" i="12"/>
  <c r="G4" i="12"/>
  <c r="AH4" i="12" s="1"/>
  <c r="F4" i="12"/>
  <c r="AB4" i="12" s="1"/>
  <c r="BX38" i="12"/>
  <c r="D44" i="12"/>
  <c r="H44" i="12" s="1"/>
  <c r="I44" i="12" s="1"/>
  <c r="K44" i="12" s="1"/>
  <c r="D22" i="12"/>
  <c r="S22" i="12" s="1"/>
  <c r="D21" i="12"/>
  <c r="V21" i="12" s="1"/>
  <c r="D15" i="12"/>
  <c r="Q15" i="12" s="1"/>
  <c r="BY15" i="12" s="1"/>
  <c r="E14" i="12"/>
  <c r="D14" i="12" s="1"/>
  <c r="F14" i="12" s="1"/>
  <c r="D13" i="12"/>
  <c r="M13" i="12" s="1"/>
  <c r="BG13" i="12" s="1"/>
  <c r="D11" i="12"/>
  <c r="P11" i="12" s="1"/>
  <c r="D10" i="12"/>
  <c r="P10" i="12" s="1"/>
  <c r="D9" i="12"/>
  <c r="Q9" i="12" s="1"/>
  <c r="E8" i="12"/>
  <c r="D8" i="12" s="1"/>
  <c r="E6" i="12"/>
  <c r="D5" i="12"/>
  <c r="CI46" i="12"/>
  <c r="CH46" i="12"/>
  <c r="CG46" i="12"/>
  <c r="CD46" i="12"/>
  <c r="CC46" i="12"/>
  <c r="CB46" i="12"/>
  <c r="BY46" i="12"/>
  <c r="BX46" i="12"/>
  <c r="BW46" i="12"/>
  <c r="BT46" i="12"/>
  <c r="BS46" i="12"/>
  <c r="BR46" i="12"/>
  <c r="BN46" i="12"/>
  <c r="BM46" i="12"/>
  <c r="BL46" i="12"/>
  <c r="BI46" i="12"/>
  <c r="BH46" i="12"/>
  <c r="BG46" i="12"/>
  <c r="BD46" i="12"/>
  <c r="BC46" i="12"/>
  <c r="BB46" i="12"/>
  <c r="AD46" i="12"/>
  <c r="AC46" i="12"/>
  <c r="AB46" i="12"/>
  <c r="AI45" i="12"/>
  <c r="AH45" i="12"/>
  <c r="AG45" i="12"/>
  <c r="AD45" i="12"/>
  <c r="AC45" i="12"/>
  <c r="AB45" i="12"/>
  <c r="AI44" i="12"/>
  <c r="AH44" i="12"/>
  <c r="AG44" i="12"/>
  <c r="AD44" i="12"/>
  <c r="AC44" i="12"/>
  <c r="AB44" i="12"/>
  <c r="AI43" i="12"/>
  <c r="AH43" i="12"/>
  <c r="AG43" i="12"/>
  <c r="AD43" i="12"/>
  <c r="AC43" i="12"/>
  <c r="AB43" i="12"/>
  <c r="Z43" i="12"/>
  <c r="Z42" i="12"/>
  <c r="AD41" i="12"/>
  <c r="AD40" i="12"/>
  <c r="AC40" i="12"/>
  <c r="AB40" i="12"/>
  <c r="AD39" i="12"/>
  <c r="AC39" i="12"/>
  <c r="AB39" i="12"/>
  <c r="AH38" i="12"/>
  <c r="Z36" i="12"/>
  <c r="AI34" i="12"/>
  <c r="AH34" i="12"/>
  <c r="AG34" i="12"/>
  <c r="AD34" i="12"/>
  <c r="AC34" i="12"/>
  <c r="AB34" i="12"/>
  <c r="Z34" i="12"/>
  <c r="Z33" i="12"/>
  <c r="CI29" i="12"/>
  <c r="CH29" i="12"/>
  <c r="CG29" i="12"/>
  <c r="CD29" i="12"/>
  <c r="CC29" i="12"/>
  <c r="CB29" i="12"/>
  <c r="BY29" i="12"/>
  <c r="BX29" i="12"/>
  <c r="BW29" i="12"/>
  <c r="BT29" i="12"/>
  <c r="BS29" i="12"/>
  <c r="BR29" i="12"/>
  <c r="BN29" i="12"/>
  <c r="BM29" i="12"/>
  <c r="BL29" i="12"/>
  <c r="BI29" i="12"/>
  <c r="BH29" i="12"/>
  <c r="BG29" i="12"/>
  <c r="BD29" i="12"/>
  <c r="BC29" i="12"/>
  <c r="BB29" i="12"/>
  <c r="AY29" i="12"/>
  <c r="AX29" i="12"/>
  <c r="AW29" i="12"/>
  <c r="AS29" i="12"/>
  <c r="AR29" i="12"/>
  <c r="AQ29" i="12"/>
  <c r="AN29" i="12"/>
  <c r="AM29" i="12"/>
  <c r="AL29" i="12"/>
  <c r="AI29" i="12"/>
  <c r="AH29" i="12"/>
  <c r="AG29" i="12"/>
  <c r="AD29" i="12"/>
  <c r="AC29" i="12"/>
  <c r="AB29" i="12"/>
  <c r="AN23" i="12"/>
  <c r="AN26" i="12" s="1"/>
  <c r="AM23" i="12"/>
  <c r="AL23" i="12"/>
  <c r="AL26" i="12" s="1"/>
  <c r="AI15" i="12"/>
  <c r="AH15" i="12"/>
  <c r="AG15" i="12"/>
  <c r="AD15" i="12"/>
  <c r="AC15" i="12"/>
  <c r="AB15" i="12"/>
  <c r="AI13" i="12"/>
  <c r="AH13" i="12"/>
  <c r="AG13" i="12"/>
  <c r="AD13" i="12"/>
  <c r="AC13" i="12"/>
  <c r="AB13" i="12"/>
  <c r="CG12" i="12"/>
  <c r="AR12" i="12"/>
  <c r="AI12" i="12"/>
  <c r="AH12" i="12"/>
  <c r="AG12" i="12"/>
  <c r="AD12" i="12"/>
  <c r="AC12" i="12"/>
  <c r="AB12" i="12"/>
  <c r="AI11" i="12"/>
  <c r="AH11" i="12"/>
  <c r="AG11" i="12"/>
  <c r="AD11" i="12"/>
  <c r="AC11" i="12"/>
  <c r="AB11" i="12"/>
  <c r="AI10" i="12"/>
  <c r="AH10" i="12"/>
  <c r="AG10" i="12"/>
  <c r="AD10" i="12"/>
  <c r="AC10" i="12"/>
  <c r="AB10" i="12"/>
  <c r="AI9" i="12"/>
  <c r="AH9" i="12"/>
  <c r="AG9" i="12"/>
  <c r="AD9" i="12"/>
  <c r="AC9" i="12"/>
  <c r="AB9" i="12"/>
  <c r="Z8" i="12"/>
  <c r="AS7" i="12"/>
  <c r="AR7" i="12"/>
  <c r="AQ7" i="12"/>
  <c r="AN7" i="12"/>
  <c r="AM7" i="12"/>
  <c r="AL7" i="12"/>
  <c r="AI7" i="12"/>
  <c r="AH7" i="12"/>
  <c r="AG7" i="12"/>
  <c r="AD7" i="12"/>
  <c r="AC7" i="12"/>
  <c r="AB7" i="12"/>
  <c r="AI6" i="12"/>
  <c r="AH6" i="12"/>
  <c r="AG6" i="12"/>
  <c r="AD6" i="12"/>
  <c r="AC6" i="12"/>
  <c r="AB6" i="12"/>
  <c r="AI5" i="12"/>
  <c r="AH5" i="12"/>
  <c r="AG5" i="12"/>
  <c r="AD5" i="12"/>
  <c r="AC5" i="12"/>
  <c r="AB5" i="12"/>
  <c r="BY5" i="22" l="1"/>
  <c r="BX5" i="22"/>
  <c r="BW5" i="22"/>
  <c r="BZ5" i="22" s="1"/>
  <c r="R5" i="22"/>
  <c r="AD18" i="22"/>
  <c r="AC26" i="22"/>
  <c r="AC23" i="22"/>
  <c r="AC28" i="22"/>
  <c r="AC27" i="22"/>
  <c r="AC22" i="22"/>
  <c r="AC24" i="22"/>
  <c r="AC25" i="22"/>
  <c r="AC21" i="22"/>
  <c r="AC16" i="22"/>
  <c r="AD17" i="22"/>
  <c r="AE17" i="22" s="1"/>
  <c r="F17" i="22" s="1"/>
  <c r="R44" i="22"/>
  <c r="BY44" i="22"/>
  <c r="BX44" i="22"/>
  <c r="BW44" i="22"/>
  <c r="BZ44" i="22" s="1"/>
  <c r="BU5" i="22"/>
  <c r="BU44" i="22"/>
  <c r="AE22" i="21"/>
  <c r="AD27" i="21"/>
  <c r="AE27" i="21" s="1"/>
  <c r="AD25" i="21"/>
  <c r="AE25" i="21" s="1"/>
  <c r="AD26" i="21"/>
  <c r="AD22" i="21"/>
  <c r="AD21" i="21"/>
  <c r="AD23" i="21"/>
  <c r="AE23" i="21" s="1"/>
  <c r="AD28" i="21"/>
  <c r="AE28" i="21" s="1"/>
  <c r="AD24" i="21"/>
  <c r="AE24" i="21" s="1"/>
  <c r="AE18" i="21"/>
  <c r="F18" i="21" s="1"/>
  <c r="AD16" i="21"/>
  <c r="AE16" i="21" s="1"/>
  <c r="AE26" i="21"/>
  <c r="BZ5" i="21"/>
  <c r="AC30" i="21"/>
  <c r="S5" i="21"/>
  <c r="CD5" i="21"/>
  <c r="CC5" i="21"/>
  <c r="CB5" i="21"/>
  <c r="T5" i="21"/>
  <c r="BS44" i="21"/>
  <c r="Q44" i="21"/>
  <c r="BT44" i="21"/>
  <c r="BR44" i="21"/>
  <c r="BO44" i="21"/>
  <c r="BO5" i="20"/>
  <c r="AD26" i="20"/>
  <c r="AE26" i="20" s="1"/>
  <c r="AD28" i="20"/>
  <c r="AE28" i="20" s="1"/>
  <c r="AD24" i="20"/>
  <c r="AE24" i="20" s="1"/>
  <c r="AD27" i="20"/>
  <c r="AE27" i="20" s="1"/>
  <c r="AD25" i="20"/>
  <c r="AE25" i="20" s="1"/>
  <c r="AD22" i="20"/>
  <c r="AE22" i="20" s="1"/>
  <c r="AD21" i="20"/>
  <c r="AD23" i="20"/>
  <c r="AE23" i="20" s="1"/>
  <c r="AD16" i="20"/>
  <c r="AE16" i="20" s="1"/>
  <c r="AE18" i="20"/>
  <c r="F18" i="20" s="1"/>
  <c r="BW44" i="20"/>
  <c r="R44" i="20"/>
  <c r="BY44" i="20"/>
  <c r="BX44" i="20"/>
  <c r="BT5" i="20"/>
  <c r="BS5" i="20"/>
  <c r="Q5" i="20"/>
  <c r="BR5" i="20"/>
  <c r="AC30" i="20"/>
  <c r="AC30" i="18"/>
  <c r="BU5" i="18"/>
  <c r="AE26" i="18"/>
  <c r="CD44" i="18"/>
  <c r="CC44" i="18"/>
  <c r="CB44" i="18"/>
  <c r="S44" i="18"/>
  <c r="T44" i="18"/>
  <c r="BZ44" i="18"/>
  <c r="AE28" i="18"/>
  <c r="AE24" i="18"/>
  <c r="BY5" i="18"/>
  <c r="BX5" i="18"/>
  <c r="BW5" i="18"/>
  <c r="R5" i="18"/>
  <c r="AD28" i="18"/>
  <c r="AD27" i="18"/>
  <c r="AE27" i="18" s="1"/>
  <c r="AD23" i="18"/>
  <c r="AD25" i="18"/>
  <c r="AE25" i="18" s="1"/>
  <c r="AE18" i="18"/>
  <c r="F18" i="18" s="1"/>
  <c r="AD26" i="18"/>
  <c r="AD24" i="18"/>
  <c r="AD22" i="18"/>
  <c r="AE22" i="18" s="1"/>
  <c r="AD16" i="18"/>
  <c r="AD21" i="18"/>
  <c r="AD30" i="18" s="1"/>
  <c r="AE23" i="18"/>
  <c r="AE16" i="18"/>
  <c r="BJ5" i="15"/>
  <c r="P5" i="15"/>
  <c r="BM5" i="15"/>
  <c r="BL5" i="15"/>
  <c r="BN5" i="15"/>
  <c r="BO44" i="16"/>
  <c r="BO5" i="16"/>
  <c r="BT44" i="16"/>
  <c r="BS44" i="16"/>
  <c r="Q44" i="16"/>
  <c r="BR44" i="16"/>
  <c r="AC26" i="16"/>
  <c r="AC28" i="16"/>
  <c r="AC27" i="16"/>
  <c r="AC24" i="16"/>
  <c r="AC16" i="16"/>
  <c r="AC25" i="16"/>
  <c r="AC22" i="16"/>
  <c r="AC21" i="16"/>
  <c r="AC23" i="16"/>
  <c r="AD17" i="16"/>
  <c r="AE17" i="16" s="1"/>
  <c r="F17" i="16" s="1"/>
  <c r="BS5" i="16"/>
  <c r="Q5" i="16"/>
  <c r="BR5" i="16"/>
  <c r="BT5" i="16"/>
  <c r="AC28" i="15"/>
  <c r="AC27" i="15"/>
  <c r="AC22" i="15"/>
  <c r="AC23" i="15"/>
  <c r="AC21" i="15"/>
  <c r="AC24" i="15"/>
  <c r="AC25" i="15"/>
  <c r="AC26" i="15"/>
  <c r="AC16" i="15"/>
  <c r="AD17" i="15"/>
  <c r="AE17" i="15" s="1"/>
  <c r="F17" i="15" s="1"/>
  <c r="BL44" i="15"/>
  <c r="P44" i="15"/>
  <c r="BN44" i="15"/>
  <c r="BM44" i="15"/>
  <c r="BJ44" i="15"/>
  <c r="AD35" i="12"/>
  <c r="K23" i="12"/>
  <c r="P23" i="12"/>
  <c r="AC4" i="12"/>
  <c r="AE46" i="12"/>
  <c r="BX12" i="12"/>
  <c r="CB12" i="12"/>
  <c r="AB36" i="12"/>
  <c r="J46" i="12"/>
  <c r="AD4" i="12"/>
  <c r="F8" i="12"/>
  <c r="AB8" i="12" s="1"/>
  <c r="V23" i="12"/>
  <c r="L23" i="12"/>
  <c r="AE13" i="12"/>
  <c r="Q23" i="12"/>
  <c r="AH46" i="12"/>
  <c r="BN12" i="12"/>
  <c r="W23" i="12"/>
  <c r="BM12" i="12"/>
  <c r="AE6" i="12"/>
  <c r="BJ46" i="12"/>
  <c r="J12" i="12"/>
  <c r="I10" i="12"/>
  <c r="H11" i="12"/>
  <c r="AM11" i="12" s="1"/>
  <c r="M10" i="12"/>
  <c r="BI10" i="12" s="1"/>
  <c r="I11" i="12"/>
  <c r="AS11" i="12" s="1"/>
  <c r="N10" i="12"/>
  <c r="M11" i="12"/>
  <c r="BG11" i="12" s="1"/>
  <c r="AJ34" i="12"/>
  <c r="BZ46" i="12"/>
  <c r="R10" i="12"/>
  <c r="CC10" i="12" s="1"/>
  <c r="N11" i="12"/>
  <c r="BN11" i="12" s="1"/>
  <c r="S10" i="12"/>
  <c r="CI10" i="12" s="1"/>
  <c r="R11" i="12"/>
  <c r="CD11" i="12" s="1"/>
  <c r="BO46" i="12"/>
  <c r="S11" i="12"/>
  <c r="CH11" i="12" s="1"/>
  <c r="L13" i="12"/>
  <c r="BD13" i="12" s="1"/>
  <c r="H10" i="12"/>
  <c r="AL10" i="12" s="1"/>
  <c r="Q13" i="12"/>
  <c r="BW13" i="12" s="1"/>
  <c r="Q11" i="12"/>
  <c r="K11" i="12"/>
  <c r="AW11" i="12" s="1"/>
  <c r="L11" i="12"/>
  <c r="BB11" i="12" s="1"/>
  <c r="BR10" i="12"/>
  <c r="Q10" i="12"/>
  <c r="K10" i="12"/>
  <c r="AY10" i="12" s="1"/>
  <c r="L10" i="12"/>
  <c r="BD10" i="12" s="1"/>
  <c r="N23" i="12"/>
  <c r="R23" i="12"/>
  <c r="S23" i="12"/>
  <c r="M23" i="12"/>
  <c r="L22" i="12"/>
  <c r="Q22" i="12"/>
  <c r="R22" i="12"/>
  <c r="V22" i="12"/>
  <c r="W22" i="12"/>
  <c r="H22" i="12"/>
  <c r="AL22" i="12" s="1"/>
  <c r="K22" i="12"/>
  <c r="M15" i="12"/>
  <c r="BH15" i="12" s="1"/>
  <c r="R15" i="12"/>
  <c r="CD15" i="12" s="1"/>
  <c r="S15" i="12"/>
  <c r="CI15" i="12" s="1"/>
  <c r="H15" i="12"/>
  <c r="AN15" i="12" s="1"/>
  <c r="I15" i="12"/>
  <c r="AR15" i="12" s="1"/>
  <c r="K15" i="12"/>
  <c r="AY15" i="12" s="1"/>
  <c r="H9" i="12"/>
  <c r="AN9" i="12" s="1"/>
  <c r="K9" i="12"/>
  <c r="AX9" i="12" s="1"/>
  <c r="N9" i="12"/>
  <c r="BN9" i="12" s="1"/>
  <c r="R9" i="12"/>
  <c r="CC9" i="12" s="1"/>
  <c r="I9" i="12"/>
  <c r="AS9" i="12" s="1"/>
  <c r="S9" i="12"/>
  <c r="CI9" i="12" s="1"/>
  <c r="L9" i="12"/>
  <c r="BD9" i="12" s="1"/>
  <c r="M9" i="12"/>
  <c r="BG9" i="12" s="1"/>
  <c r="P9" i="12"/>
  <c r="BT9" i="12" s="1"/>
  <c r="N13" i="12"/>
  <c r="BL13" i="12" s="1"/>
  <c r="P13" i="12"/>
  <c r="BS13" i="12" s="1"/>
  <c r="H13" i="12"/>
  <c r="R13" i="12"/>
  <c r="CD13" i="12" s="1"/>
  <c r="I13" i="12"/>
  <c r="S13" i="12"/>
  <c r="CI13" i="12" s="1"/>
  <c r="K13" i="12"/>
  <c r="AW13" i="12" s="1"/>
  <c r="M24" i="12"/>
  <c r="R24" i="12"/>
  <c r="Q24" i="12"/>
  <c r="W24" i="12"/>
  <c r="X24" i="12"/>
  <c r="N24" i="12"/>
  <c r="J5" i="12"/>
  <c r="O5" i="12"/>
  <c r="T5" i="12"/>
  <c r="L15" i="12"/>
  <c r="BD15" i="12" s="1"/>
  <c r="N15" i="12"/>
  <c r="BN15" i="12" s="1"/>
  <c r="P15" i="12"/>
  <c r="L25" i="12"/>
  <c r="M25" i="12"/>
  <c r="X25" i="12"/>
  <c r="N25" i="12"/>
  <c r="P25" i="12"/>
  <c r="Q25" i="12"/>
  <c r="W25" i="12"/>
  <c r="R25" i="12"/>
  <c r="S25" i="12"/>
  <c r="K25" i="12"/>
  <c r="AL12" i="12"/>
  <c r="O12" i="12"/>
  <c r="T12" i="12"/>
  <c r="AC14" i="12"/>
  <c r="P24" i="12"/>
  <c r="S24" i="12"/>
  <c r="K24" i="12"/>
  <c r="V24" i="12"/>
  <c r="L21" i="12"/>
  <c r="W21" i="12"/>
  <c r="M21" i="12"/>
  <c r="X21" i="12"/>
  <c r="N21" i="12"/>
  <c r="P21" i="12"/>
  <c r="Q21" i="12"/>
  <c r="H21" i="12"/>
  <c r="R21" i="12"/>
  <c r="I21" i="12"/>
  <c r="S21" i="12"/>
  <c r="K21" i="12"/>
  <c r="M22" i="12"/>
  <c r="X22" i="12"/>
  <c r="N22" i="12"/>
  <c r="P22" i="12"/>
  <c r="I22" i="12"/>
  <c r="J44" i="12"/>
  <c r="AN44" i="12"/>
  <c r="AM44" i="12"/>
  <c r="L44" i="12"/>
  <c r="M44" i="12" s="1"/>
  <c r="N44" i="12" s="1"/>
  <c r="P44" i="12" s="1"/>
  <c r="AJ10" i="12"/>
  <c r="H4" i="12"/>
  <c r="W38" i="12"/>
  <c r="BU29" i="12"/>
  <c r="BE46" i="12"/>
  <c r="X38" i="12"/>
  <c r="BU46" i="12"/>
  <c r="BJ29" i="12"/>
  <c r="AE7" i="12"/>
  <c r="AN46" i="12"/>
  <c r="BD12" i="12"/>
  <c r="AI38" i="12"/>
  <c r="AJ38" i="12" s="1"/>
  <c r="AE12" i="12"/>
  <c r="CE29" i="12"/>
  <c r="CE46" i="12"/>
  <c r="AY46" i="12"/>
  <c r="AJ6" i="12"/>
  <c r="AJ13" i="12"/>
  <c r="AE29" i="12"/>
  <c r="AC35" i="12"/>
  <c r="AO7" i="12"/>
  <c r="AJ12" i="12"/>
  <c r="AJ45" i="12"/>
  <c r="CJ46" i="12"/>
  <c r="AZ29" i="12"/>
  <c r="AJ5" i="12"/>
  <c r="AE11" i="12"/>
  <c r="AO23" i="12"/>
  <c r="BE29" i="12"/>
  <c r="AT29" i="12"/>
  <c r="AE45" i="12"/>
  <c r="AJ11" i="12"/>
  <c r="AE34" i="12"/>
  <c r="AE44" i="12"/>
  <c r="AE9" i="12"/>
  <c r="AJ29" i="12"/>
  <c r="CJ29" i="12"/>
  <c r="AE40" i="12"/>
  <c r="AE43" i="12"/>
  <c r="AT7" i="12"/>
  <c r="BZ29" i="12"/>
  <c r="AJ44" i="12"/>
  <c r="AJ7" i="12"/>
  <c r="AJ9" i="12"/>
  <c r="AE10" i="12"/>
  <c r="AO29" i="12"/>
  <c r="BO29" i="12"/>
  <c r="AJ43" i="12"/>
  <c r="AN5" i="12"/>
  <c r="AM5" i="12"/>
  <c r="AQ12" i="12"/>
  <c r="AT12" i="12" s="1"/>
  <c r="BW12" i="12"/>
  <c r="AB33" i="12"/>
  <c r="AD33" i="12"/>
  <c r="BW15" i="12"/>
  <c r="AG46" i="12"/>
  <c r="BX15" i="12"/>
  <c r="BB12" i="12"/>
  <c r="CC38" i="12"/>
  <c r="AL46" i="12"/>
  <c r="CB38" i="12"/>
  <c r="BC12" i="12"/>
  <c r="CH12" i="12"/>
  <c r="CJ12" i="12" s="1"/>
  <c r="AX38" i="12"/>
  <c r="CG38" i="12"/>
  <c r="AW46" i="12"/>
  <c r="CH38" i="12"/>
  <c r="BL38" i="12"/>
  <c r="BM38" i="12"/>
  <c r="AI4" i="12"/>
  <c r="AG4" i="12"/>
  <c r="BR11" i="12"/>
  <c r="AN12" i="12"/>
  <c r="AM12" i="12"/>
  <c r="BT12" i="12"/>
  <c r="BS12" i="12"/>
  <c r="AL5" i="12"/>
  <c r="BT11" i="12"/>
  <c r="BS11" i="12"/>
  <c r="AE5" i="12"/>
  <c r="BT10" i="12"/>
  <c r="BS10" i="12"/>
  <c r="AB14" i="12"/>
  <c r="AD14" i="12"/>
  <c r="AJ15" i="12"/>
  <c r="AY12" i="12"/>
  <c r="AX12" i="12"/>
  <c r="BI12" i="12"/>
  <c r="BH12" i="12"/>
  <c r="AW12" i="12"/>
  <c r="BI13" i="12"/>
  <c r="BH13" i="12"/>
  <c r="AE15" i="12"/>
  <c r="AM26" i="12"/>
  <c r="AO26" i="12" s="1"/>
  <c r="AG36" i="12"/>
  <c r="AI36" i="12"/>
  <c r="AH36" i="12"/>
  <c r="BI38" i="12"/>
  <c r="BG38" i="12"/>
  <c r="BH38" i="12"/>
  <c r="CC12" i="12"/>
  <c r="AG35" i="12"/>
  <c r="AC36" i="12"/>
  <c r="AN38" i="12"/>
  <c r="AL38" i="12"/>
  <c r="BY38" i="12"/>
  <c r="BW38" i="12"/>
  <c r="AH33" i="12"/>
  <c r="AG33" i="12"/>
  <c r="AH35" i="12"/>
  <c r="AS38" i="12"/>
  <c r="AR38" i="12"/>
  <c r="BD38" i="12"/>
  <c r="BC38" i="12"/>
  <c r="AE39" i="12"/>
  <c r="AD38" i="12"/>
  <c r="AB38" i="12"/>
  <c r="AC38" i="12"/>
  <c r="Z47" i="12"/>
  <c r="Z49" i="12" s="1"/>
  <c r="BT38" i="12"/>
  <c r="BR38" i="12"/>
  <c r="CI38" i="12"/>
  <c r="AB41" i="12"/>
  <c r="AC41" i="12"/>
  <c r="AW38" i="12"/>
  <c r="AI46" i="12"/>
  <c r="AS46" i="12"/>
  <c r="AL44" i="12"/>
  <c r="AM46" i="12"/>
  <c r="AX46" i="12"/>
  <c r="AQ46" i="12"/>
  <c r="AC30" i="22" l="1"/>
  <c r="AD27" i="22"/>
  <c r="AD22" i="22"/>
  <c r="AD21" i="22"/>
  <c r="AE21" i="22" s="1"/>
  <c r="AD26" i="22"/>
  <c r="AD23" i="22"/>
  <c r="AE23" i="22" s="1"/>
  <c r="AD28" i="22"/>
  <c r="AE28" i="22" s="1"/>
  <c r="AD24" i="22"/>
  <c r="AD25" i="22"/>
  <c r="AE18" i="22"/>
  <c r="F18" i="22" s="1"/>
  <c r="AD16" i="22"/>
  <c r="AE25" i="22"/>
  <c r="AE24" i="22"/>
  <c r="CB5" i="22"/>
  <c r="CE5" i="22" s="1"/>
  <c r="S5" i="22"/>
  <c r="CD5" i="22"/>
  <c r="CC5" i="22"/>
  <c r="AE22" i="22"/>
  <c r="AE27" i="22"/>
  <c r="S44" i="22"/>
  <c r="CD44" i="22"/>
  <c r="CB44" i="22"/>
  <c r="CE44" i="22" s="1"/>
  <c r="CC44" i="22"/>
  <c r="AE16" i="22"/>
  <c r="AE26" i="22"/>
  <c r="BU44" i="21"/>
  <c r="CE5" i="21"/>
  <c r="F42" i="21"/>
  <c r="G14" i="21"/>
  <c r="F16" i="21"/>
  <c r="G8" i="21"/>
  <c r="BX44" i="21"/>
  <c r="BY44" i="21"/>
  <c r="R44" i="21"/>
  <c r="BW44" i="21"/>
  <c r="CI5" i="21"/>
  <c r="CH5" i="21"/>
  <c r="V5" i="21"/>
  <c r="W5" i="21" s="1"/>
  <c r="X5" i="21" s="1"/>
  <c r="CG5" i="21"/>
  <c r="CJ5" i="21" s="1"/>
  <c r="AD30" i="21"/>
  <c r="AE21" i="21"/>
  <c r="BZ44" i="20"/>
  <c r="BU5" i="20"/>
  <c r="F42" i="20"/>
  <c r="G14" i="20"/>
  <c r="F16" i="20"/>
  <c r="G8" i="20"/>
  <c r="R5" i="20"/>
  <c r="BY5" i="20"/>
  <c r="BX5" i="20"/>
  <c r="BW5" i="20"/>
  <c r="AD30" i="20"/>
  <c r="S44" i="20"/>
  <c r="CD44" i="20"/>
  <c r="CC44" i="20"/>
  <c r="CB44" i="20"/>
  <c r="CE44" i="20" s="1"/>
  <c r="AE21" i="20"/>
  <c r="CB5" i="18"/>
  <c r="S5" i="18"/>
  <c r="T5" i="18" s="1"/>
  <c r="CD5" i="18"/>
  <c r="CC5" i="18"/>
  <c r="AE21" i="18"/>
  <c r="BZ5" i="18"/>
  <c r="CG44" i="18"/>
  <c r="CI44" i="18"/>
  <c r="CH44" i="18"/>
  <c r="V44" i="18"/>
  <c r="W44" i="18" s="1"/>
  <c r="X44" i="18" s="1"/>
  <c r="AE30" i="18"/>
  <c r="F42" i="18"/>
  <c r="G14" i="18"/>
  <c r="G8" i="18"/>
  <c r="F16" i="18"/>
  <c r="CE44" i="18"/>
  <c r="BU44" i="16"/>
  <c r="AD18" i="16"/>
  <c r="AD27" i="16" s="1"/>
  <c r="AE27" i="16" s="1"/>
  <c r="BT5" i="15"/>
  <c r="Q5" i="15"/>
  <c r="BR5" i="15"/>
  <c r="BS5" i="15"/>
  <c r="BO5" i="15"/>
  <c r="BY44" i="16"/>
  <c r="R44" i="16"/>
  <c r="BX44" i="16"/>
  <c r="BW44" i="16"/>
  <c r="AD28" i="16"/>
  <c r="AE28" i="16" s="1"/>
  <c r="AD16" i="16"/>
  <c r="AE16" i="16" s="1"/>
  <c r="AD25" i="16"/>
  <c r="AE25" i="16" s="1"/>
  <c r="AE18" i="16"/>
  <c r="F18" i="16" s="1"/>
  <c r="AD22" i="16"/>
  <c r="AE22" i="16" s="1"/>
  <c r="AD21" i="16"/>
  <c r="AE21" i="16" s="1"/>
  <c r="BU5" i="16"/>
  <c r="BY5" i="16"/>
  <c r="BX5" i="16"/>
  <c r="BW5" i="16"/>
  <c r="R5" i="16"/>
  <c r="AC30" i="16"/>
  <c r="AD18" i="15"/>
  <c r="AD22" i="15" s="1"/>
  <c r="AE22" i="15" s="1"/>
  <c r="BT44" i="15"/>
  <c r="BS44" i="15"/>
  <c r="Q44" i="15"/>
  <c r="BR44" i="15"/>
  <c r="BO44" i="15"/>
  <c r="AD26" i="15"/>
  <c r="AD23" i="15"/>
  <c r="AE23" i="15" s="1"/>
  <c r="AD25" i="15"/>
  <c r="AE25" i="15" s="1"/>
  <c r="AD16" i="15"/>
  <c r="AE16" i="15" s="1"/>
  <c r="AC30" i="15"/>
  <c r="AE26" i="15"/>
  <c r="BO12" i="12"/>
  <c r="CB11" i="12"/>
  <c r="AE35" i="12"/>
  <c r="BG15" i="12"/>
  <c r="AC8" i="12"/>
  <c r="BM11" i="12"/>
  <c r="AD8" i="12"/>
  <c r="CE12" i="12"/>
  <c r="BJ13" i="12"/>
  <c r="BB13" i="12"/>
  <c r="AE36" i="12"/>
  <c r="AM22" i="12"/>
  <c r="AM25" i="12" s="1"/>
  <c r="AM28" i="12" s="1"/>
  <c r="BG10" i="12"/>
  <c r="AE4" i="12"/>
  <c r="BI15" i="12"/>
  <c r="BJ15" i="12" s="1"/>
  <c r="CE38" i="12"/>
  <c r="BZ12" i="12"/>
  <c r="AM9" i="12"/>
  <c r="AN10" i="12"/>
  <c r="AM15" i="12"/>
  <c r="AR11" i="12"/>
  <c r="CC11" i="12"/>
  <c r="CE11" i="12" s="1"/>
  <c r="AQ11" i="12"/>
  <c r="AL15" i="12"/>
  <c r="CG10" i="12"/>
  <c r="CI11" i="12"/>
  <c r="AO38" i="12"/>
  <c r="CG15" i="12"/>
  <c r="AX11" i="12"/>
  <c r="AY11" i="12"/>
  <c r="BC10" i="12"/>
  <c r="J11" i="12"/>
  <c r="O29" i="12"/>
  <c r="AJ46" i="12"/>
  <c r="BS9" i="12"/>
  <c r="BI11" i="12"/>
  <c r="CH15" i="12"/>
  <c r="AY9" i="12"/>
  <c r="AN22" i="12"/>
  <c r="AN25" i="12" s="1"/>
  <c r="AN28" i="12" s="1"/>
  <c r="CG11" i="12"/>
  <c r="AN11" i="12"/>
  <c r="AL9" i="12"/>
  <c r="BH11" i="12"/>
  <c r="BL11" i="12"/>
  <c r="J15" i="12"/>
  <c r="J10" i="12"/>
  <c r="BC13" i="12"/>
  <c r="AW10" i="12"/>
  <c r="AX10" i="12"/>
  <c r="CH10" i="12"/>
  <c r="J29" i="12"/>
  <c r="T11" i="12"/>
  <c r="AZ38" i="12"/>
  <c r="AW9" i="12"/>
  <c r="AL11" i="12"/>
  <c r="T10" i="12"/>
  <c r="AZ46" i="12"/>
  <c r="BL15" i="12"/>
  <c r="BM15" i="12"/>
  <c r="AX13" i="12"/>
  <c r="BY13" i="12"/>
  <c r="CB13" i="12"/>
  <c r="AY13" i="12"/>
  <c r="BX13" i="12"/>
  <c r="CC13" i="12"/>
  <c r="BT13" i="12"/>
  <c r="CG13" i="12"/>
  <c r="CH13" i="12"/>
  <c r="O13" i="12"/>
  <c r="BD11" i="12"/>
  <c r="BC11" i="12"/>
  <c r="O11" i="12"/>
  <c r="BW11" i="12"/>
  <c r="BY11" i="12"/>
  <c r="BX11" i="12"/>
  <c r="BB10" i="12"/>
  <c r="BW10" i="12"/>
  <c r="BX10" i="12"/>
  <c r="BY10" i="12"/>
  <c r="O10" i="12"/>
  <c r="CB15" i="12"/>
  <c r="CC15" i="12"/>
  <c r="T15" i="12"/>
  <c r="AQ15" i="12"/>
  <c r="AS15" i="12"/>
  <c r="BM9" i="12"/>
  <c r="BB9" i="12"/>
  <c r="O9" i="12"/>
  <c r="BL9" i="12"/>
  <c r="AR9" i="12"/>
  <c r="CG9" i="12"/>
  <c r="AQ9" i="12"/>
  <c r="BR9" i="12"/>
  <c r="T9" i="12"/>
  <c r="CH9" i="12"/>
  <c r="J9" i="12"/>
  <c r="AL13" i="12"/>
  <c r="J13" i="12"/>
  <c r="AM13" i="12"/>
  <c r="AN13" i="12"/>
  <c r="AQ13" i="12"/>
  <c r="AS13" i="12"/>
  <c r="T13" i="12"/>
  <c r="BR13" i="12"/>
  <c r="AR13" i="12"/>
  <c r="BM13" i="12"/>
  <c r="BN13" i="12"/>
  <c r="BC15" i="12"/>
  <c r="BR15" i="12"/>
  <c r="BT15" i="12"/>
  <c r="BS15" i="12"/>
  <c r="BB15" i="12"/>
  <c r="O15" i="12"/>
  <c r="BU12" i="12"/>
  <c r="AO44" i="12"/>
  <c r="O44" i="12"/>
  <c r="Q44" i="12"/>
  <c r="R44" i="12" s="1"/>
  <c r="S44" i="12" s="1"/>
  <c r="V44" i="12" s="1"/>
  <c r="W44" i="12" s="1"/>
  <c r="X44" i="12" s="1"/>
  <c r="AN4" i="12"/>
  <c r="AO46" i="12"/>
  <c r="AM4" i="12"/>
  <c r="BE38" i="12"/>
  <c r="AL4" i="12"/>
  <c r="T29" i="12"/>
  <c r="BE12" i="12"/>
  <c r="BZ38" i="12"/>
  <c r="AZ12" i="12"/>
  <c r="AO5" i="12"/>
  <c r="AE33" i="12"/>
  <c r="BU38" i="12"/>
  <c r="BJ12" i="12"/>
  <c r="AO12" i="12"/>
  <c r="AT46" i="12"/>
  <c r="BZ15" i="12"/>
  <c r="BU10" i="12"/>
  <c r="BY9" i="12"/>
  <c r="BX9" i="12"/>
  <c r="BW9" i="12"/>
  <c r="BH10" i="12"/>
  <c r="AM10" i="12"/>
  <c r="CD10" i="12"/>
  <c r="CB10" i="12"/>
  <c r="AS10" i="12"/>
  <c r="AQ10" i="12"/>
  <c r="AR10" i="12"/>
  <c r="BO38" i="12"/>
  <c r="AT38" i="12"/>
  <c r="AW15" i="12"/>
  <c r="AX15" i="12"/>
  <c r="BJ38" i="12"/>
  <c r="BH9" i="12"/>
  <c r="BC9" i="12"/>
  <c r="BN10" i="12"/>
  <c r="BL10" i="12"/>
  <c r="BM10" i="12"/>
  <c r="CD9" i="12"/>
  <c r="CB9" i="12"/>
  <c r="CJ38" i="12"/>
  <c r="BI9" i="12"/>
  <c r="AB17" i="12"/>
  <c r="AL25" i="12"/>
  <c r="AQ44" i="12"/>
  <c r="AS44" i="12"/>
  <c r="AR44" i="12"/>
  <c r="AE14" i="12"/>
  <c r="AJ4" i="12"/>
  <c r="AE38" i="12"/>
  <c r="AE41" i="12"/>
  <c r="AJ33" i="12"/>
  <c r="AJ36" i="12"/>
  <c r="AS5" i="12"/>
  <c r="AQ5" i="12"/>
  <c r="AR5" i="12"/>
  <c r="BU11" i="12"/>
  <c r="AJ35" i="12"/>
  <c r="F37" i="22" l="1"/>
  <c r="CI44" i="22"/>
  <c r="CH44" i="22"/>
  <c r="V44" i="22"/>
  <c r="W44" i="22" s="1"/>
  <c r="X44" i="22" s="1"/>
  <c r="CG44" i="22"/>
  <c r="F42" i="22"/>
  <c r="G14" i="22"/>
  <c r="F16" i="22"/>
  <c r="G8" i="22"/>
  <c r="T44" i="22"/>
  <c r="AD30" i="22"/>
  <c r="CI5" i="22"/>
  <c r="CH5" i="22"/>
  <c r="V5" i="22"/>
  <c r="W5" i="22" s="1"/>
  <c r="X5" i="22" s="1"/>
  <c r="CG5" i="22"/>
  <c r="CJ5" i="22" s="1"/>
  <c r="T5" i="22"/>
  <c r="BZ44" i="21"/>
  <c r="F37" i="21"/>
  <c r="AG14" i="21"/>
  <c r="AH14" i="21"/>
  <c r="AI14" i="21"/>
  <c r="AC42" i="21"/>
  <c r="AD42" i="21"/>
  <c r="AB42" i="21"/>
  <c r="S44" i="21"/>
  <c r="CC44" i="21"/>
  <c r="CB44" i="21"/>
  <c r="CD44" i="21"/>
  <c r="T44" i="21"/>
  <c r="AE30" i="21"/>
  <c r="AH8" i="21"/>
  <c r="AG8" i="21"/>
  <c r="AI8" i="21"/>
  <c r="BZ5" i="20"/>
  <c r="AE30" i="20"/>
  <c r="S5" i="20"/>
  <c r="CD5" i="20"/>
  <c r="CC5" i="20"/>
  <c r="CB5" i="20"/>
  <c r="CE5" i="20" s="1"/>
  <c r="T5" i="20"/>
  <c r="AG14" i="20"/>
  <c r="AI14" i="20"/>
  <c r="AH14" i="20"/>
  <c r="AI8" i="20"/>
  <c r="AH8" i="20"/>
  <c r="AG8" i="20"/>
  <c r="AD42" i="20"/>
  <c r="AC42" i="20"/>
  <c r="AB42" i="20"/>
  <c r="CG44" i="20"/>
  <c r="CI44" i="20"/>
  <c r="CH44" i="20"/>
  <c r="V44" i="20"/>
  <c r="W44" i="20" s="1"/>
  <c r="X44" i="20" s="1"/>
  <c r="T44" i="20"/>
  <c r="F37" i="20"/>
  <c r="CJ44" i="18"/>
  <c r="AI8" i="18"/>
  <c r="AH8" i="18"/>
  <c r="AG8" i="18"/>
  <c r="AD42" i="18"/>
  <c r="AC42" i="18"/>
  <c r="AB42" i="18"/>
  <c r="AE42" i="18" s="1"/>
  <c r="F37" i="18"/>
  <c r="F30" i="18"/>
  <c r="CH5" i="18"/>
  <c r="V5" i="18"/>
  <c r="W5" i="18" s="1"/>
  <c r="X5" i="18" s="1"/>
  <c r="CG5" i="18"/>
  <c r="CI5" i="18"/>
  <c r="AI14" i="18"/>
  <c r="AG14" i="18"/>
  <c r="AH14" i="18"/>
  <c r="CE5" i="18"/>
  <c r="BZ44" i="16"/>
  <c r="AD26" i="16"/>
  <c r="AE26" i="16" s="1"/>
  <c r="AD24" i="16"/>
  <c r="AE24" i="16" s="1"/>
  <c r="AD23" i="16"/>
  <c r="AE23" i="16" s="1"/>
  <c r="BU5" i="15"/>
  <c r="R5" i="15"/>
  <c r="BY5" i="15"/>
  <c r="BW5" i="15"/>
  <c r="BX5" i="15"/>
  <c r="AD27" i="15"/>
  <c r="AE27" i="15" s="1"/>
  <c r="CD44" i="16"/>
  <c r="CC44" i="16"/>
  <c r="CB44" i="16"/>
  <c r="S44" i="16"/>
  <c r="T44" i="16" s="1"/>
  <c r="F37" i="16"/>
  <c r="AD30" i="16"/>
  <c r="AE30" i="16" s="1"/>
  <c r="CC5" i="16"/>
  <c r="CB5" i="16"/>
  <c r="S5" i="16"/>
  <c r="T5" i="16" s="1"/>
  <c r="CD5" i="16"/>
  <c r="BZ5" i="16"/>
  <c r="F42" i="16"/>
  <c r="G14" i="16"/>
  <c r="F16" i="16"/>
  <c r="G8" i="16"/>
  <c r="AD28" i="15"/>
  <c r="AE28" i="15" s="1"/>
  <c r="AE18" i="15"/>
  <c r="F18" i="15" s="1"/>
  <c r="G8" i="15" s="1"/>
  <c r="AD21" i="15"/>
  <c r="AD24" i="15"/>
  <c r="AE24" i="15" s="1"/>
  <c r="BU44" i="15"/>
  <c r="AE21" i="15"/>
  <c r="BW44" i="15"/>
  <c r="R44" i="15"/>
  <c r="BY44" i="15"/>
  <c r="BX44" i="15"/>
  <c r="BO11" i="12"/>
  <c r="AE8" i="12"/>
  <c r="AZ9" i="12"/>
  <c r="AO15" i="12"/>
  <c r="BE13" i="12"/>
  <c r="BJ10" i="12"/>
  <c r="AO11" i="12"/>
  <c r="AO9" i="12"/>
  <c r="AZ11" i="12"/>
  <c r="BE11" i="12"/>
  <c r="AZ10" i="12"/>
  <c r="CJ10" i="12"/>
  <c r="AT11" i="12"/>
  <c r="BO15" i="12"/>
  <c r="BJ11" i="12"/>
  <c r="CE13" i="12"/>
  <c r="AT9" i="12"/>
  <c r="BE10" i="12"/>
  <c r="AZ13" i="12"/>
  <c r="CJ11" i="12"/>
  <c r="CJ9" i="12"/>
  <c r="BU13" i="12"/>
  <c r="AO10" i="12"/>
  <c r="CJ15" i="12"/>
  <c r="AO22" i="12"/>
  <c r="BU9" i="12"/>
  <c r="BZ10" i="12"/>
  <c r="BZ13" i="12"/>
  <c r="BE15" i="12"/>
  <c r="AT15" i="12"/>
  <c r="CJ13" i="12"/>
  <c r="O38" i="12"/>
  <c r="J38" i="12"/>
  <c r="BO13" i="12"/>
  <c r="AT13" i="12"/>
  <c r="AO13" i="12"/>
  <c r="BJ9" i="12"/>
  <c r="BZ11" i="12"/>
  <c r="BU15" i="12"/>
  <c r="CE15" i="12"/>
  <c r="BE9" i="12"/>
  <c r="BO9" i="12"/>
  <c r="AO4" i="12"/>
  <c r="T38" i="12"/>
  <c r="T44" i="12"/>
  <c r="CE9" i="12"/>
  <c r="CE10" i="12"/>
  <c r="AT10" i="12"/>
  <c r="BZ9" i="12"/>
  <c r="BO10" i="12"/>
  <c r="AZ15" i="12"/>
  <c r="AY44" i="12"/>
  <c r="AX44" i="12"/>
  <c r="AW44" i="12"/>
  <c r="AT44" i="12"/>
  <c r="AT5" i="12"/>
  <c r="AL28" i="12"/>
  <c r="AO28" i="12" s="1"/>
  <c r="AO25" i="12"/>
  <c r="AB18" i="12"/>
  <c r="AY5" i="12"/>
  <c r="AX5" i="12"/>
  <c r="AW5" i="12"/>
  <c r="AG14" i="22" l="1"/>
  <c r="AI14" i="22"/>
  <c r="AH14" i="22"/>
  <c r="AC42" i="22"/>
  <c r="AB42" i="22"/>
  <c r="AD42" i="22"/>
  <c r="AI8" i="22"/>
  <c r="AH8" i="22"/>
  <c r="AG8" i="22"/>
  <c r="AB37" i="22"/>
  <c r="AD37" i="22"/>
  <c r="AC37" i="22"/>
  <c r="AC47" i="22" s="1"/>
  <c r="AC49" i="22" s="1"/>
  <c r="AE30" i="22"/>
  <c r="CJ44" i="22"/>
  <c r="F30" i="21"/>
  <c r="CE44" i="21"/>
  <c r="AJ14" i="21"/>
  <c r="AG17" i="21"/>
  <c r="AJ8" i="21"/>
  <c r="CH44" i="21"/>
  <c r="V44" i="21"/>
  <c r="W44" i="21" s="1"/>
  <c r="X44" i="21" s="1"/>
  <c r="CI44" i="21"/>
  <c r="CG44" i="21"/>
  <c r="AE42" i="21"/>
  <c r="AD37" i="21"/>
  <c r="AD47" i="21" s="1"/>
  <c r="AD49" i="21" s="1"/>
  <c r="AB37" i="21"/>
  <c r="AC37" i="21"/>
  <c r="AC47" i="21" s="1"/>
  <c r="AC49" i="21" s="1"/>
  <c r="AJ14" i="20"/>
  <c r="AD37" i="20"/>
  <c r="AD47" i="20" s="1"/>
  <c r="AD49" i="20" s="1"/>
  <c r="AC37" i="20"/>
  <c r="AC47" i="20" s="1"/>
  <c r="AC49" i="20" s="1"/>
  <c r="AB37" i="20"/>
  <c r="AG17" i="20"/>
  <c r="AJ8" i="20"/>
  <c r="CJ44" i="20"/>
  <c r="CI5" i="20"/>
  <c r="CH5" i="20"/>
  <c r="V5" i="20"/>
  <c r="W5" i="20" s="1"/>
  <c r="X5" i="20" s="1"/>
  <c r="CG5" i="20"/>
  <c r="AE42" i="20"/>
  <c r="F30" i="20"/>
  <c r="CJ5" i="18"/>
  <c r="G39" i="18"/>
  <c r="AG17" i="18"/>
  <c r="AJ8" i="18"/>
  <c r="AJ14" i="18"/>
  <c r="AD37" i="18"/>
  <c r="AD47" i="18" s="1"/>
  <c r="AD49" i="18" s="1"/>
  <c r="AB37" i="18"/>
  <c r="AC37" i="18"/>
  <c r="AC47" i="18" s="1"/>
  <c r="AC49" i="18" s="1"/>
  <c r="BZ5" i="15"/>
  <c r="F42" i="15"/>
  <c r="AD42" i="15" s="1"/>
  <c r="CD5" i="15"/>
  <c r="S5" i="15"/>
  <c r="CC5" i="15"/>
  <c r="CB5" i="15"/>
  <c r="CE5" i="15" s="1"/>
  <c r="T5" i="15"/>
  <c r="CG44" i="16"/>
  <c r="V44" i="16"/>
  <c r="W44" i="16" s="1"/>
  <c r="X44" i="16" s="1"/>
  <c r="CI44" i="16"/>
  <c r="CH44" i="16"/>
  <c r="CE44" i="16"/>
  <c r="AI8" i="16"/>
  <c r="AH8" i="16"/>
  <c r="AG8" i="16"/>
  <c r="CI5" i="16"/>
  <c r="CH5" i="16"/>
  <c r="V5" i="16"/>
  <c r="W5" i="16" s="1"/>
  <c r="X5" i="16" s="1"/>
  <c r="CG5" i="16"/>
  <c r="AD37" i="16"/>
  <c r="AC37" i="16"/>
  <c r="AB37" i="16"/>
  <c r="AI14" i="16"/>
  <c r="AH14" i="16"/>
  <c r="AG14" i="16"/>
  <c r="CE5" i="16"/>
  <c r="AD42" i="16"/>
  <c r="AC42" i="16"/>
  <c r="AB42" i="16"/>
  <c r="AE42" i="16" s="1"/>
  <c r="F30" i="16"/>
  <c r="G14" i="15"/>
  <c r="AG14" i="15" s="1"/>
  <c r="F16" i="15"/>
  <c r="AD30" i="15"/>
  <c r="AE30" i="15" s="1"/>
  <c r="F30" i="15" s="1"/>
  <c r="S44" i="15"/>
  <c r="V44" i="15" s="1"/>
  <c r="W44" i="15" s="1"/>
  <c r="X44" i="15" s="1"/>
  <c r="CD44" i="15"/>
  <c r="CC44" i="15"/>
  <c r="CB44" i="15"/>
  <c r="BZ44" i="15"/>
  <c r="T44" i="15"/>
  <c r="F37" i="15"/>
  <c r="AH8" i="15"/>
  <c r="AG8" i="15"/>
  <c r="AI8" i="15"/>
  <c r="AI14" i="15"/>
  <c r="AZ44" i="12"/>
  <c r="BD5" i="12"/>
  <c r="BB5" i="12"/>
  <c r="BC5" i="12"/>
  <c r="AB26" i="12"/>
  <c r="AB23" i="12"/>
  <c r="AB28" i="12"/>
  <c r="AB24" i="12"/>
  <c r="AB27" i="12"/>
  <c r="AB25" i="12"/>
  <c r="AB22" i="12"/>
  <c r="AB21" i="12"/>
  <c r="AB16" i="12"/>
  <c r="AC17" i="12"/>
  <c r="BB44" i="12"/>
  <c r="BD44" i="12"/>
  <c r="BC44" i="12"/>
  <c r="AZ5" i="12"/>
  <c r="H14" i="3"/>
  <c r="H15" i="3"/>
  <c r="H16" i="3"/>
  <c r="H17" i="3"/>
  <c r="H18" i="3"/>
  <c r="H13" i="3"/>
  <c r="L6" i="3"/>
  <c r="L7" i="3"/>
  <c r="L8" i="3"/>
  <c r="L9" i="3"/>
  <c r="L10" i="3"/>
  <c r="L11" i="3"/>
  <c r="L12" i="3"/>
  <c r="L13" i="3"/>
  <c r="L14" i="3"/>
  <c r="L15" i="3"/>
  <c r="L16" i="3"/>
  <c r="L5" i="3"/>
  <c r="N9" i="3"/>
  <c r="N10" i="3"/>
  <c r="N11" i="3"/>
  <c r="N12" i="3"/>
  <c r="N13" i="3"/>
  <c r="N14" i="3"/>
  <c r="N15" i="3"/>
  <c r="N16" i="3"/>
  <c r="N17" i="3"/>
  <c r="N8" i="3"/>
  <c r="J13" i="3"/>
  <c r="J14" i="3"/>
  <c r="J15" i="3"/>
  <c r="J16" i="3"/>
  <c r="J17" i="3"/>
  <c r="J18" i="3"/>
  <c r="J12" i="3"/>
  <c r="F11" i="3"/>
  <c r="F12" i="3"/>
  <c r="F13" i="3"/>
  <c r="F14" i="3"/>
  <c r="F15" i="3"/>
  <c r="F16" i="3"/>
  <c r="F17" i="3"/>
  <c r="F18" i="3"/>
  <c r="F10" i="3"/>
  <c r="D7" i="3"/>
  <c r="D8" i="3"/>
  <c r="D9" i="3"/>
  <c r="D10" i="3"/>
  <c r="D11" i="3"/>
  <c r="D12" i="3"/>
  <c r="D13" i="3"/>
  <c r="D14" i="3"/>
  <c r="D15" i="3"/>
  <c r="D16" i="3"/>
  <c r="D17" i="3"/>
  <c r="D18" i="3"/>
  <c r="D6" i="3"/>
  <c r="AD47" i="22" l="1"/>
  <c r="AD49" i="22" s="1"/>
  <c r="AE37" i="22"/>
  <c r="AB47" i="22"/>
  <c r="F30" i="22"/>
  <c r="AE42" i="22"/>
  <c r="AG17" i="22"/>
  <c r="AJ8" i="22"/>
  <c r="AJ14" i="22"/>
  <c r="AE37" i="21"/>
  <c r="AB47" i="21"/>
  <c r="AG18" i="21"/>
  <c r="CJ44" i="21"/>
  <c r="G39" i="21"/>
  <c r="CJ5" i="20"/>
  <c r="G39" i="20"/>
  <c r="AG18" i="20"/>
  <c r="AE37" i="20"/>
  <c r="AB47" i="20"/>
  <c r="AG18" i="18"/>
  <c r="AE37" i="18"/>
  <c r="AB47" i="18"/>
  <c r="AH39" i="18"/>
  <c r="AG39" i="18"/>
  <c r="AI39" i="18"/>
  <c r="AH14" i="15"/>
  <c r="AJ14" i="15" s="1"/>
  <c r="AB42" i="15"/>
  <c r="AC42" i="15"/>
  <c r="CI5" i="15"/>
  <c r="V5" i="15"/>
  <c r="W5" i="15" s="1"/>
  <c r="X5" i="15" s="1"/>
  <c r="CH5" i="15"/>
  <c r="CG5" i="15"/>
  <c r="CJ5" i="15" s="1"/>
  <c r="CJ5" i="16"/>
  <c r="AJ14" i="16"/>
  <c r="CJ44" i="16"/>
  <c r="G39" i="16"/>
  <c r="AE37" i="16"/>
  <c r="AB47" i="16"/>
  <c r="AG17" i="16"/>
  <c r="AJ8" i="16"/>
  <c r="AC47" i="16"/>
  <c r="AC49" i="16" s="1"/>
  <c r="AD47" i="16"/>
  <c r="AD49" i="16" s="1"/>
  <c r="AG17" i="15"/>
  <c r="AJ8" i="15"/>
  <c r="AD37" i="15"/>
  <c r="AD47" i="15" s="1"/>
  <c r="AD49" i="15" s="1"/>
  <c r="AC37" i="15"/>
  <c r="AB37" i="15"/>
  <c r="CE44" i="15"/>
  <c r="G39" i="15"/>
  <c r="CG44" i="15"/>
  <c r="CI44" i="15"/>
  <c r="CH44" i="15"/>
  <c r="BE44" i="12"/>
  <c r="AB30" i="12"/>
  <c r="BI44" i="12"/>
  <c r="BH44" i="12"/>
  <c r="BG44" i="12"/>
  <c r="AC18" i="12"/>
  <c r="BI5" i="12"/>
  <c r="BG5" i="12"/>
  <c r="BH5" i="12"/>
  <c r="BE5" i="12"/>
  <c r="AG18" i="22" l="1"/>
  <c r="G39" i="22"/>
  <c r="AE47" i="22"/>
  <c r="AB49" i="22"/>
  <c r="AH39" i="21"/>
  <c r="AG39" i="21"/>
  <c r="AI39" i="21"/>
  <c r="AG26" i="21"/>
  <c r="AG22" i="21"/>
  <c r="AG21" i="21"/>
  <c r="AG23" i="21"/>
  <c r="AG28" i="21"/>
  <c r="AG24" i="21"/>
  <c r="AG27" i="21"/>
  <c r="AG25" i="21"/>
  <c r="AG16" i="21"/>
  <c r="AH17" i="21"/>
  <c r="AE47" i="21"/>
  <c r="AB49" i="21"/>
  <c r="AG28" i="20"/>
  <c r="AG24" i="20"/>
  <c r="AG27" i="20"/>
  <c r="AG25" i="20"/>
  <c r="AG26" i="20"/>
  <c r="AG23" i="20"/>
  <c r="AG16" i="20"/>
  <c r="AG22" i="20"/>
  <c r="AG21" i="20"/>
  <c r="AH17" i="20"/>
  <c r="AE47" i="20"/>
  <c r="AB49" i="20"/>
  <c r="AI39" i="20"/>
  <c r="AH39" i="20"/>
  <c r="AG39" i="20"/>
  <c r="AJ39" i="18"/>
  <c r="AE47" i="18"/>
  <c r="AB49" i="18"/>
  <c r="AG28" i="18"/>
  <c r="AG27" i="18"/>
  <c r="AG24" i="18"/>
  <c r="AG16" i="18"/>
  <c r="AG26" i="18"/>
  <c r="AG22" i="18"/>
  <c r="AG21" i="18"/>
  <c r="AG25" i="18"/>
  <c r="AG23" i="18"/>
  <c r="AH17" i="18"/>
  <c r="AC47" i="15"/>
  <c r="AC49" i="15" s="1"/>
  <c r="AE42" i="15"/>
  <c r="AG18" i="16"/>
  <c r="AE47" i="16"/>
  <c r="AB49" i="16"/>
  <c r="AH39" i="16"/>
  <c r="AG39" i="16"/>
  <c r="AI39" i="16"/>
  <c r="CJ44" i="15"/>
  <c r="AI39" i="15"/>
  <c r="AH39" i="15"/>
  <c r="AG39" i="15"/>
  <c r="AE37" i="15"/>
  <c r="AB47" i="15"/>
  <c r="AG18" i="15"/>
  <c r="BJ44" i="12"/>
  <c r="BN5" i="12"/>
  <c r="BL5" i="12"/>
  <c r="BM5" i="12"/>
  <c r="AC28" i="12"/>
  <c r="AC25" i="12"/>
  <c r="AC22" i="12"/>
  <c r="AC21" i="12"/>
  <c r="AC24" i="12"/>
  <c r="AC16" i="12"/>
  <c r="AC26" i="12"/>
  <c r="AC23" i="12"/>
  <c r="AC27" i="12"/>
  <c r="AD17" i="12"/>
  <c r="AE17" i="12" s="1"/>
  <c r="F17" i="12" s="1"/>
  <c r="BL44" i="12"/>
  <c r="BN44" i="12"/>
  <c r="BM44" i="12"/>
  <c r="BJ5" i="12"/>
  <c r="AG26" i="22" l="1"/>
  <c r="AG28" i="22"/>
  <c r="AG23" i="22"/>
  <c r="AG27" i="22"/>
  <c r="AG24" i="22"/>
  <c r="AG25" i="22"/>
  <c r="AG22" i="22"/>
  <c r="AG21" i="22"/>
  <c r="AG16" i="22"/>
  <c r="AH17" i="22"/>
  <c r="F47" i="22"/>
  <c r="AE49" i="22"/>
  <c r="F49" i="22" s="1"/>
  <c r="AI39" i="22"/>
  <c r="AH39" i="22"/>
  <c r="AG39" i="22"/>
  <c r="AJ39" i="22" s="1"/>
  <c r="AG30" i="21"/>
  <c r="F47" i="21"/>
  <c r="AE49" i="21"/>
  <c r="F49" i="21" s="1"/>
  <c r="AJ39" i="21"/>
  <c r="AH18" i="21"/>
  <c r="F47" i="20"/>
  <c r="AE49" i="20"/>
  <c r="F49" i="20" s="1"/>
  <c r="AG30" i="20"/>
  <c r="AJ39" i="20"/>
  <c r="AH18" i="20"/>
  <c r="AG30" i="18"/>
  <c r="F47" i="18"/>
  <c r="AE49" i="18"/>
  <c r="F49" i="18" s="1"/>
  <c r="AH18" i="18"/>
  <c r="AJ39" i="16"/>
  <c r="F47" i="16"/>
  <c r="AE49" i="16"/>
  <c r="F49" i="16" s="1"/>
  <c r="AG28" i="16"/>
  <c r="AG27" i="16"/>
  <c r="AG26" i="16"/>
  <c r="AG25" i="16"/>
  <c r="AH18" i="16"/>
  <c r="AG22" i="16"/>
  <c r="AG21" i="16"/>
  <c r="AG23" i="16"/>
  <c r="AG24" i="16"/>
  <c r="AG16" i="16"/>
  <c r="AH17" i="16"/>
  <c r="AJ39" i="15"/>
  <c r="AG28" i="15"/>
  <c r="AG27" i="15"/>
  <c r="AG26" i="15"/>
  <c r="AG24" i="15"/>
  <c r="AG25" i="15"/>
  <c r="AG22" i="15"/>
  <c r="AG23" i="15"/>
  <c r="AG16" i="15"/>
  <c r="AG21" i="15"/>
  <c r="AH17" i="15"/>
  <c r="AE47" i="15"/>
  <c r="AB49" i="15"/>
  <c r="AD18" i="12"/>
  <c r="AD28" i="12" s="1"/>
  <c r="AE28" i="12" s="1"/>
  <c r="BT5" i="12"/>
  <c r="BS5" i="12"/>
  <c r="BR5" i="12"/>
  <c r="BO5" i="12"/>
  <c r="BO44" i="12"/>
  <c r="AC30" i="12"/>
  <c r="BT44" i="12"/>
  <c r="BS44" i="12"/>
  <c r="BR44" i="12"/>
  <c r="G41" i="22" l="1"/>
  <c r="G40" i="22"/>
  <c r="AG30" i="22"/>
  <c r="AH18" i="22"/>
  <c r="AH26" i="21"/>
  <c r="AH22" i="21"/>
  <c r="AH21" i="21"/>
  <c r="AH28" i="21"/>
  <c r="AH24" i="21"/>
  <c r="AI18" i="21"/>
  <c r="AH23" i="21"/>
  <c r="AH16" i="21"/>
  <c r="AH27" i="21"/>
  <c r="AH25" i="21"/>
  <c r="AI17" i="21"/>
  <c r="AJ17" i="21" s="1"/>
  <c r="G17" i="21" s="1"/>
  <c r="G40" i="21"/>
  <c r="G41" i="21"/>
  <c r="AH28" i="20"/>
  <c r="AH24" i="20"/>
  <c r="AH27" i="20"/>
  <c r="AH25" i="20"/>
  <c r="AH26" i="20"/>
  <c r="AH16" i="20"/>
  <c r="AI18" i="20"/>
  <c r="AH22" i="20"/>
  <c r="AH21" i="20"/>
  <c r="AH23" i="20"/>
  <c r="AI17" i="20"/>
  <c r="AJ17" i="20" s="1"/>
  <c r="G17" i="20" s="1"/>
  <c r="G41" i="20"/>
  <c r="G40" i="20"/>
  <c r="G40" i="18"/>
  <c r="G41" i="18"/>
  <c r="AH27" i="18"/>
  <c r="AH25" i="18"/>
  <c r="AH26" i="18"/>
  <c r="AH22" i="18"/>
  <c r="AH21" i="18"/>
  <c r="AH28" i="18"/>
  <c r="AH23" i="18"/>
  <c r="AH24" i="18"/>
  <c r="AI18" i="18"/>
  <c r="AH16" i="18"/>
  <c r="AI17" i="18"/>
  <c r="AJ17" i="18" s="1"/>
  <c r="G17" i="18" s="1"/>
  <c r="AH28" i="16"/>
  <c r="AH27" i="16"/>
  <c r="AH26" i="16"/>
  <c r="AI18" i="16"/>
  <c r="AH22" i="16"/>
  <c r="AH21" i="16"/>
  <c r="AH23" i="16"/>
  <c r="AH24" i="16"/>
  <c r="AH16" i="16"/>
  <c r="AH25" i="16"/>
  <c r="AI17" i="16"/>
  <c r="AJ17" i="16"/>
  <c r="G17" i="16" s="1"/>
  <c r="G40" i="16"/>
  <c r="G41" i="16"/>
  <c r="AG30" i="16"/>
  <c r="F47" i="15"/>
  <c r="AE49" i="15"/>
  <c r="F49" i="15" s="1"/>
  <c r="AH18" i="15"/>
  <c r="AG30" i="15"/>
  <c r="AD23" i="12"/>
  <c r="AE23" i="12" s="1"/>
  <c r="AD26" i="12"/>
  <c r="AE26" i="12" s="1"/>
  <c r="AE18" i="12"/>
  <c r="F18" i="12" s="1"/>
  <c r="AD22" i="12"/>
  <c r="AE22" i="12" s="1"/>
  <c r="AD25" i="12"/>
  <c r="AE25" i="12" s="1"/>
  <c r="AD16" i="12"/>
  <c r="AE16" i="12" s="1"/>
  <c r="AD24" i="12"/>
  <c r="AE24" i="12" s="1"/>
  <c r="AD21" i="12"/>
  <c r="AE21" i="12" s="1"/>
  <c r="AD27" i="12"/>
  <c r="AE27" i="12" s="1"/>
  <c r="BU44" i="12"/>
  <c r="BW44" i="12"/>
  <c r="BY44" i="12"/>
  <c r="BX44" i="12"/>
  <c r="BU5" i="12"/>
  <c r="BY5" i="12"/>
  <c r="BW5" i="12"/>
  <c r="BX5" i="12"/>
  <c r="AH27" i="22" l="1"/>
  <c r="AH26" i="22"/>
  <c r="AH28" i="22"/>
  <c r="AH25" i="22"/>
  <c r="AH24" i="22"/>
  <c r="AH23" i="22"/>
  <c r="AI18" i="22"/>
  <c r="AH16" i="22"/>
  <c r="AH21" i="22"/>
  <c r="AH22" i="22"/>
  <c r="AI17" i="22"/>
  <c r="AJ17" i="22" s="1"/>
  <c r="G17" i="22" s="1"/>
  <c r="AI40" i="22"/>
  <c r="AH40" i="22"/>
  <c r="AG40" i="22"/>
  <c r="AJ40" i="22" s="1"/>
  <c r="AI41" i="22"/>
  <c r="AG41" i="22"/>
  <c r="AH41" i="22"/>
  <c r="AH30" i="21"/>
  <c r="AI41" i="21"/>
  <c r="AG41" i="21"/>
  <c r="AH41" i="21"/>
  <c r="AJ26" i="21"/>
  <c r="AI23" i="21"/>
  <c r="AJ23" i="21" s="1"/>
  <c r="AI28" i="21"/>
  <c r="AJ28" i="21" s="1"/>
  <c r="AI24" i="21"/>
  <c r="AJ24" i="21" s="1"/>
  <c r="AI27" i="21"/>
  <c r="AJ27" i="21" s="1"/>
  <c r="AI25" i="21"/>
  <c r="AJ25" i="21" s="1"/>
  <c r="AI26" i="21"/>
  <c r="AI22" i="21"/>
  <c r="AJ22" i="21" s="1"/>
  <c r="AI21" i="21"/>
  <c r="AJ18" i="21"/>
  <c r="G18" i="21" s="1"/>
  <c r="AI16" i="21"/>
  <c r="AJ16" i="21" s="1"/>
  <c r="AI40" i="21"/>
  <c r="AG40" i="21"/>
  <c r="AH40" i="21"/>
  <c r="AI41" i="20"/>
  <c r="AH41" i="20"/>
  <c r="AG41" i="20"/>
  <c r="AI28" i="20"/>
  <c r="AJ28" i="20" s="1"/>
  <c r="AI24" i="20"/>
  <c r="AJ24" i="20" s="1"/>
  <c r="AI27" i="20"/>
  <c r="AJ27" i="20" s="1"/>
  <c r="AI25" i="20"/>
  <c r="AJ25" i="20" s="1"/>
  <c r="AI26" i="20"/>
  <c r="AJ26" i="20" s="1"/>
  <c r="AI16" i="20"/>
  <c r="AJ16" i="20" s="1"/>
  <c r="AJ18" i="20"/>
  <c r="G18" i="20" s="1"/>
  <c r="AI22" i="20"/>
  <c r="AJ22" i="20" s="1"/>
  <c r="AI21" i="20"/>
  <c r="AI23" i="20"/>
  <c r="AJ23" i="20" s="1"/>
  <c r="AI40" i="20"/>
  <c r="AH40" i="20"/>
  <c r="AG40" i="20"/>
  <c r="AH30" i="20"/>
  <c r="AI28" i="18"/>
  <c r="AI27" i="18"/>
  <c r="AI25" i="18"/>
  <c r="AJ25" i="18" s="1"/>
  <c r="AJ18" i="18"/>
  <c r="G18" i="18" s="1"/>
  <c r="AI23" i="18"/>
  <c r="AJ23" i="18" s="1"/>
  <c r="AI26" i="18"/>
  <c r="AJ26" i="18" s="1"/>
  <c r="AI24" i="18"/>
  <c r="AI22" i="18"/>
  <c r="AI16" i="18"/>
  <c r="AJ16" i="18" s="1"/>
  <c r="AI21" i="18"/>
  <c r="AI41" i="18"/>
  <c r="AH41" i="18"/>
  <c r="AG41" i="18"/>
  <c r="AJ41" i="18" s="1"/>
  <c r="AJ27" i="18"/>
  <c r="AJ24" i="18"/>
  <c r="AH30" i="18"/>
  <c r="AI40" i="18"/>
  <c r="AG40" i="18"/>
  <c r="AH40" i="18"/>
  <c r="AJ22" i="18"/>
  <c r="AJ28" i="18"/>
  <c r="AH30" i="16"/>
  <c r="AI27" i="16"/>
  <c r="AJ27" i="16" s="1"/>
  <c r="AI26" i="16"/>
  <c r="AJ26" i="16" s="1"/>
  <c r="AI28" i="16"/>
  <c r="AJ28" i="16" s="1"/>
  <c r="AI22" i="16"/>
  <c r="AJ22" i="16" s="1"/>
  <c r="AI21" i="16"/>
  <c r="AI23" i="16"/>
  <c r="AJ23" i="16" s="1"/>
  <c r="AI24" i="16"/>
  <c r="AJ24" i="16" s="1"/>
  <c r="AI16" i="16"/>
  <c r="AJ16" i="16" s="1"/>
  <c r="AI25" i="16"/>
  <c r="AJ25" i="16" s="1"/>
  <c r="AJ18" i="16"/>
  <c r="G18" i="16" s="1"/>
  <c r="AI41" i="16"/>
  <c r="AH41" i="16"/>
  <c r="AG41" i="16"/>
  <c r="AI40" i="16"/>
  <c r="AG40" i="16"/>
  <c r="AH40" i="16"/>
  <c r="AH27" i="15"/>
  <c r="AH26" i="15"/>
  <c r="AH25" i="15"/>
  <c r="AH28" i="15"/>
  <c r="AH22" i="15"/>
  <c r="AH23" i="15"/>
  <c r="AH24" i="15"/>
  <c r="AH16" i="15"/>
  <c r="AH21" i="15"/>
  <c r="AI17" i="15"/>
  <c r="AJ17" i="15" s="1"/>
  <c r="G17" i="15" s="1"/>
  <c r="G40" i="15"/>
  <c r="G41" i="15"/>
  <c r="G8" i="12"/>
  <c r="AI8" i="12" s="1"/>
  <c r="F42" i="12"/>
  <c r="AC42" i="12" s="1"/>
  <c r="F16" i="12"/>
  <c r="G14" i="12"/>
  <c r="AH14" i="12" s="1"/>
  <c r="F37" i="12"/>
  <c r="AD37" i="12" s="1"/>
  <c r="AD30" i="12"/>
  <c r="AE30" i="12" s="1"/>
  <c r="F30" i="12" s="1"/>
  <c r="BZ44" i="12"/>
  <c r="CD44" i="12"/>
  <c r="CC44" i="12"/>
  <c r="CB44" i="12"/>
  <c r="CB5" i="12"/>
  <c r="CD5" i="12"/>
  <c r="CC5" i="12"/>
  <c r="BZ5" i="12"/>
  <c r="AI28" i="22" l="1"/>
  <c r="AI27" i="22"/>
  <c r="AI24" i="22"/>
  <c r="AJ24" i="22" s="1"/>
  <c r="AI25" i="22"/>
  <c r="AJ18" i="22"/>
  <c r="G18" i="22" s="1"/>
  <c r="AI22" i="22"/>
  <c r="AJ22" i="22" s="1"/>
  <c r="AI23" i="22"/>
  <c r="AJ23" i="22" s="1"/>
  <c r="AI16" i="22"/>
  <c r="AI21" i="22"/>
  <c r="AI26" i="22"/>
  <c r="AJ26" i="22" s="1"/>
  <c r="AJ25" i="22"/>
  <c r="AJ28" i="22"/>
  <c r="AJ16" i="22"/>
  <c r="AJ41" i="22"/>
  <c r="AH30" i="22"/>
  <c r="AJ21" i="22"/>
  <c r="AJ27" i="22"/>
  <c r="AJ40" i="21"/>
  <c r="G42" i="21"/>
  <c r="H14" i="21"/>
  <c r="H6" i="21"/>
  <c r="G16" i="21"/>
  <c r="AJ41" i="21"/>
  <c r="AI30" i="21"/>
  <c r="AJ21" i="21"/>
  <c r="AJ41" i="20"/>
  <c r="AJ40" i="20"/>
  <c r="AI30" i="20"/>
  <c r="G42" i="20"/>
  <c r="H14" i="20"/>
  <c r="G16" i="20"/>
  <c r="H6" i="20"/>
  <c r="H8" i="20" s="1"/>
  <c r="AJ21" i="20"/>
  <c r="AJ40" i="18"/>
  <c r="AI30" i="18"/>
  <c r="AJ21" i="18"/>
  <c r="G42" i="18"/>
  <c r="G16" i="18"/>
  <c r="H14" i="18"/>
  <c r="H6" i="18"/>
  <c r="H8" i="18"/>
  <c r="AJ40" i="16"/>
  <c r="G42" i="16"/>
  <c r="H14" i="16"/>
  <c r="G16" i="16"/>
  <c r="H6" i="16"/>
  <c r="H8" i="16" s="1"/>
  <c r="AJ41" i="16"/>
  <c r="AI30" i="16"/>
  <c r="AJ21" i="16"/>
  <c r="AI40" i="15"/>
  <c r="AH40" i="15"/>
  <c r="AG40" i="15"/>
  <c r="AI18" i="15"/>
  <c r="AI41" i="15"/>
  <c r="AH41" i="15"/>
  <c r="AG41" i="15"/>
  <c r="AH30" i="15"/>
  <c r="AD42" i="12"/>
  <c r="AD47" i="12" s="1"/>
  <c r="AD49" i="12" s="1"/>
  <c r="CE44" i="12"/>
  <c r="G39" i="12"/>
  <c r="AB37" i="12"/>
  <c r="AH8" i="12"/>
  <c r="AG8" i="12"/>
  <c r="AC37" i="12"/>
  <c r="AB42" i="12"/>
  <c r="AI14" i="12"/>
  <c r="AG14" i="12"/>
  <c r="CE5" i="12"/>
  <c r="CI5" i="12"/>
  <c r="CG5" i="12"/>
  <c r="CH5" i="12"/>
  <c r="AC47" i="12"/>
  <c r="AC49" i="12" s="1"/>
  <c r="CG44" i="12"/>
  <c r="CI44" i="12"/>
  <c r="CH44" i="12"/>
  <c r="G42" i="22" l="1"/>
  <c r="H14" i="22"/>
  <c r="G16" i="22"/>
  <c r="H6" i="22"/>
  <c r="AI30" i="22"/>
  <c r="G37" i="22"/>
  <c r="AH42" i="21"/>
  <c r="AG42" i="21"/>
  <c r="AI42" i="21"/>
  <c r="AN6" i="21"/>
  <c r="AM6" i="21"/>
  <c r="AL6" i="21"/>
  <c r="AJ30" i="21"/>
  <c r="H8" i="21"/>
  <c r="G37" i="21"/>
  <c r="AM14" i="21"/>
  <c r="AL14" i="21"/>
  <c r="AN14" i="21"/>
  <c r="AN8" i="20"/>
  <c r="AM8" i="20"/>
  <c r="AL8" i="20"/>
  <c r="G37" i="20"/>
  <c r="AN14" i="20"/>
  <c r="AM14" i="20"/>
  <c r="AL14" i="20"/>
  <c r="AH42" i="20"/>
  <c r="AG42" i="20"/>
  <c r="AI42" i="20"/>
  <c r="AN6" i="20"/>
  <c r="AM6" i="20"/>
  <c r="AL6" i="20"/>
  <c r="AJ30" i="20"/>
  <c r="G37" i="18"/>
  <c r="AN14" i="18"/>
  <c r="AL14" i="18"/>
  <c r="AM14" i="18"/>
  <c r="AM8" i="18"/>
  <c r="AL8" i="18"/>
  <c r="AN8" i="18"/>
  <c r="AL6" i="18"/>
  <c r="AN6" i="18"/>
  <c r="AM6" i="18"/>
  <c r="AH42" i="18"/>
  <c r="AI42" i="18"/>
  <c r="AG42" i="18"/>
  <c r="AJ30" i="18"/>
  <c r="AJ40" i="15"/>
  <c r="AL8" i="16"/>
  <c r="AM8" i="16"/>
  <c r="AN8" i="16"/>
  <c r="AL14" i="16"/>
  <c r="AN14" i="16"/>
  <c r="AM14" i="16"/>
  <c r="AJ30" i="16"/>
  <c r="AH42" i="16"/>
  <c r="AI42" i="16"/>
  <c r="AG42" i="16"/>
  <c r="G37" i="16"/>
  <c r="AM6" i="16"/>
  <c r="AL6" i="16"/>
  <c r="AN6" i="16"/>
  <c r="AJ41" i="15"/>
  <c r="AI27" i="15"/>
  <c r="AJ27" i="15" s="1"/>
  <c r="AI25" i="15"/>
  <c r="AJ25" i="15" s="1"/>
  <c r="AI26" i="15"/>
  <c r="AJ26" i="15" s="1"/>
  <c r="AI28" i="15"/>
  <c r="AJ28" i="15" s="1"/>
  <c r="AI16" i="15"/>
  <c r="AJ16" i="15" s="1"/>
  <c r="AI22" i="15"/>
  <c r="AJ22" i="15" s="1"/>
  <c r="AI23" i="15"/>
  <c r="AJ23" i="15" s="1"/>
  <c r="AI21" i="15"/>
  <c r="AJ18" i="15"/>
  <c r="G18" i="15" s="1"/>
  <c r="AI24" i="15"/>
  <c r="AJ24" i="15" s="1"/>
  <c r="AJ8" i="12"/>
  <c r="AJ14" i="12"/>
  <c r="AE42" i="12"/>
  <c r="AE37" i="12"/>
  <c r="AG17" i="12"/>
  <c r="AG18" i="12" s="1"/>
  <c r="AB47" i="12"/>
  <c r="AE47" i="12" s="1"/>
  <c r="F47" i="12" s="1"/>
  <c r="CJ44" i="12"/>
  <c r="AG39" i="12"/>
  <c r="AI39" i="12"/>
  <c r="AH39" i="12"/>
  <c r="CJ5" i="12"/>
  <c r="AI37" i="22" l="1"/>
  <c r="AG37" i="22"/>
  <c r="AH37" i="22"/>
  <c r="AN14" i="22"/>
  <c r="AM14" i="22"/>
  <c r="AL14" i="22"/>
  <c r="AJ30" i="22"/>
  <c r="AL6" i="22"/>
  <c r="AN6" i="22"/>
  <c r="AM6" i="22"/>
  <c r="AG42" i="22"/>
  <c r="AJ42" i="22" s="1"/>
  <c r="AI42" i="22"/>
  <c r="AH42" i="22"/>
  <c r="H8" i="22"/>
  <c r="AO14" i="21"/>
  <c r="AJ42" i="21"/>
  <c r="AI37" i="21"/>
  <c r="AI47" i="21" s="1"/>
  <c r="AI49" i="21" s="1"/>
  <c r="AG37" i="21"/>
  <c r="AH37" i="21"/>
  <c r="AH47" i="21" s="1"/>
  <c r="AH49" i="21" s="1"/>
  <c r="G30" i="21"/>
  <c r="AN8" i="21"/>
  <c r="AM8" i="21"/>
  <c r="AL8" i="21"/>
  <c r="AO6" i="21"/>
  <c r="AI37" i="20"/>
  <c r="AI47" i="20" s="1"/>
  <c r="AI49" i="20" s="1"/>
  <c r="AH37" i="20"/>
  <c r="AH47" i="20" s="1"/>
  <c r="AH49" i="20" s="1"/>
  <c r="AG37" i="20"/>
  <c r="AL17" i="20"/>
  <c r="AO8" i="20"/>
  <c r="AJ42" i="20"/>
  <c r="AO6" i="20"/>
  <c r="AO14" i="20"/>
  <c r="G30" i="20"/>
  <c r="AO6" i="18"/>
  <c r="AO8" i="18"/>
  <c r="AL17" i="18"/>
  <c r="AJ42" i="18"/>
  <c r="G30" i="18"/>
  <c r="AO14" i="18"/>
  <c r="AI37" i="18"/>
  <c r="AI47" i="18" s="1"/>
  <c r="AI49" i="18" s="1"/>
  <c r="AG37" i="18"/>
  <c r="AH37" i="18"/>
  <c r="AH47" i="18" s="1"/>
  <c r="AH49" i="18" s="1"/>
  <c r="AJ42" i="16"/>
  <c r="AO14" i="16"/>
  <c r="AH37" i="16"/>
  <c r="AH47" i="16" s="1"/>
  <c r="AH49" i="16" s="1"/>
  <c r="AG37" i="16"/>
  <c r="AI37" i="16"/>
  <c r="AI47" i="16" s="1"/>
  <c r="AI49" i="16" s="1"/>
  <c r="G30" i="16"/>
  <c r="AO6" i="16"/>
  <c r="AL17" i="16"/>
  <c r="AO8" i="16"/>
  <c r="G16" i="15"/>
  <c r="G42" i="15"/>
  <c r="H14" i="15"/>
  <c r="H6" i="15"/>
  <c r="H8" i="15" s="1"/>
  <c r="AI30" i="15"/>
  <c r="AJ21" i="15"/>
  <c r="AB49" i="12"/>
  <c r="AJ39" i="12"/>
  <c r="AG28" i="12"/>
  <c r="AG27" i="12"/>
  <c r="AG26" i="12"/>
  <c r="AG22" i="12"/>
  <c r="AG21" i="12"/>
  <c r="AG23" i="12"/>
  <c r="AG25" i="12"/>
  <c r="AG24" i="12"/>
  <c r="AG16" i="12"/>
  <c r="AH17" i="12"/>
  <c r="AH18" i="12" s="1"/>
  <c r="AE49" i="12"/>
  <c r="F49" i="12" s="1"/>
  <c r="AO14" i="22" l="1"/>
  <c r="AH47" i="22"/>
  <c r="AH49" i="22" s="1"/>
  <c r="AO6" i="22"/>
  <c r="AJ37" i="22"/>
  <c r="AG47" i="22"/>
  <c r="AN8" i="22"/>
  <c r="AM8" i="22"/>
  <c r="AL8" i="22"/>
  <c r="G30" i="22"/>
  <c r="AI47" i="22"/>
  <c r="AI49" i="22" s="1"/>
  <c r="H45" i="21"/>
  <c r="H39" i="21"/>
  <c r="AJ37" i="21"/>
  <c r="AG47" i="21"/>
  <c r="AL17" i="21"/>
  <c r="AO8" i="21"/>
  <c r="H39" i="20"/>
  <c r="H45" i="20"/>
  <c r="AJ37" i="20"/>
  <c r="AG47" i="20"/>
  <c r="AL18" i="20"/>
  <c r="H39" i="18"/>
  <c r="H45" i="18"/>
  <c r="AJ37" i="18"/>
  <c r="AG47" i="18"/>
  <c r="AL18" i="18"/>
  <c r="AJ37" i="16"/>
  <c r="AG47" i="16"/>
  <c r="H39" i="16"/>
  <c r="H45" i="16"/>
  <c r="AL18" i="16"/>
  <c r="AN8" i="15"/>
  <c r="AM8" i="15"/>
  <c r="AL8" i="15"/>
  <c r="AN6" i="15"/>
  <c r="AL6" i="15"/>
  <c r="AM6" i="15"/>
  <c r="AH42" i="15"/>
  <c r="AG42" i="15"/>
  <c r="AI42" i="15"/>
  <c r="G37" i="15"/>
  <c r="AN14" i="15"/>
  <c r="AM14" i="15"/>
  <c r="AL14" i="15"/>
  <c r="AJ30" i="15"/>
  <c r="G41" i="12"/>
  <c r="G40" i="12"/>
  <c r="AH28" i="12"/>
  <c r="AH26" i="12"/>
  <c r="AH24" i="12"/>
  <c r="AH27" i="12"/>
  <c r="AH22" i="12"/>
  <c r="AH21" i="12"/>
  <c r="AH25" i="12"/>
  <c r="AH23" i="12"/>
  <c r="AH16" i="12"/>
  <c r="AI17" i="12"/>
  <c r="AJ17" i="12" s="1"/>
  <c r="G17" i="12" s="1"/>
  <c r="AG30" i="12"/>
  <c r="AL17" i="22" l="1"/>
  <c r="AO8" i="22"/>
  <c r="H45" i="22"/>
  <c r="H39" i="22"/>
  <c r="AJ47" i="22"/>
  <c r="AG49" i="22"/>
  <c r="AL18" i="21"/>
  <c r="AJ47" i="21"/>
  <c r="AG49" i="21"/>
  <c r="AM45" i="21"/>
  <c r="AN45" i="21"/>
  <c r="AL45" i="21"/>
  <c r="AO45" i="21" s="1"/>
  <c r="I4" i="21"/>
  <c r="AM39" i="21"/>
  <c r="AN39" i="21"/>
  <c r="AL39" i="21"/>
  <c r="AO39" i="21" s="1"/>
  <c r="AL21" i="20"/>
  <c r="AL16" i="20"/>
  <c r="AM17" i="20"/>
  <c r="AJ47" i="20"/>
  <c r="AG49" i="20"/>
  <c r="AN39" i="20"/>
  <c r="AM39" i="20"/>
  <c r="AL39" i="20"/>
  <c r="AN45" i="20"/>
  <c r="AM45" i="20"/>
  <c r="AL45" i="20"/>
  <c r="I4" i="20"/>
  <c r="AJ47" i="18"/>
  <c r="AG49" i="18"/>
  <c r="AN45" i="18"/>
  <c r="AM45" i="18"/>
  <c r="AL45" i="18"/>
  <c r="AO45" i="18" s="1"/>
  <c r="I4" i="18"/>
  <c r="AL21" i="18"/>
  <c r="AL16" i="18"/>
  <c r="AM17" i="18"/>
  <c r="AM18" i="18" s="1"/>
  <c r="AM39" i="18"/>
  <c r="AL39" i="18"/>
  <c r="AN39" i="18"/>
  <c r="AL16" i="16"/>
  <c r="AL21" i="16"/>
  <c r="AM17" i="16"/>
  <c r="AM39" i="16"/>
  <c r="AL39" i="16"/>
  <c r="AN39" i="16"/>
  <c r="AN45" i="16"/>
  <c r="AM45" i="16"/>
  <c r="AL45" i="16"/>
  <c r="I4" i="16"/>
  <c r="AJ47" i="16"/>
  <c r="AG49" i="16"/>
  <c r="AO14" i="15"/>
  <c r="AG37" i="15"/>
  <c r="AI37" i="15"/>
  <c r="AI47" i="15" s="1"/>
  <c r="AI49" i="15" s="1"/>
  <c r="AH37" i="15"/>
  <c r="AH47" i="15" s="1"/>
  <c r="AH49" i="15" s="1"/>
  <c r="G30" i="15"/>
  <c r="AJ42" i="15"/>
  <c r="AO6" i="15"/>
  <c r="AL17" i="15"/>
  <c r="AO8" i="15"/>
  <c r="AH30" i="12"/>
  <c r="AI40" i="12"/>
  <c r="AH40" i="12"/>
  <c r="AG40" i="12"/>
  <c r="AI18" i="12"/>
  <c r="AH41" i="12"/>
  <c r="AG41" i="12"/>
  <c r="AI41" i="12"/>
  <c r="AN45" i="22" l="1"/>
  <c r="AL45" i="22"/>
  <c r="AM45" i="22"/>
  <c r="I4" i="22"/>
  <c r="G47" i="22"/>
  <c r="AJ49" i="22"/>
  <c r="G49" i="22" s="1"/>
  <c r="AN39" i="22"/>
  <c r="AM39" i="22"/>
  <c r="AL39" i="22"/>
  <c r="AL18" i="22"/>
  <c r="AL21" i="21"/>
  <c r="AL16" i="21"/>
  <c r="AM17" i="21"/>
  <c r="G47" i="21"/>
  <c r="AJ49" i="21"/>
  <c r="G49" i="21" s="1"/>
  <c r="AS4" i="21"/>
  <c r="AR4" i="21"/>
  <c r="AQ4" i="21"/>
  <c r="J4" i="21"/>
  <c r="AO45" i="20"/>
  <c r="AL24" i="20"/>
  <c r="AS4" i="20"/>
  <c r="AR4" i="20"/>
  <c r="AQ4" i="20"/>
  <c r="AT4" i="20" s="1"/>
  <c r="J4" i="20"/>
  <c r="AO39" i="20"/>
  <c r="AM18" i="20"/>
  <c r="G47" i="20"/>
  <c r="AJ49" i="20"/>
  <c r="G49" i="20" s="1"/>
  <c r="AL24" i="18"/>
  <c r="AS4" i="18"/>
  <c r="AR4" i="18"/>
  <c r="AQ4" i="18"/>
  <c r="AT4" i="18" s="1"/>
  <c r="J4" i="18"/>
  <c r="AM21" i="18"/>
  <c r="AM16" i="18"/>
  <c r="AN17" i="18"/>
  <c r="AO17" i="18" s="1"/>
  <c r="H17" i="18" s="1"/>
  <c r="G47" i="18"/>
  <c r="AJ49" i="18"/>
  <c r="G49" i="18" s="1"/>
  <c r="AO39" i="18"/>
  <c r="G47" i="16"/>
  <c r="AJ49" i="16"/>
  <c r="G49" i="16" s="1"/>
  <c r="AS4" i="16"/>
  <c r="AR4" i="16"/>
  <c r="AQ4" i="16"/>
  <c r="AT4" i="16" s="1"/>
  <c r="J4" i="16"/>
  <c r="AL24" i="16"/>
  <c r="AO45" i="16"/>
  <c r="AM18" i="16"/>
  <c r="AO39" i="16"/>
  <c r="H45" i="15"/>
  <c r="H39" i="15"/>
  <c r="AL18" i="15"/>
  <c r="AJ37" i="15"/>
  <c r="AG47" i="15"/>
  <c r="AJ40" i="12"/>
  <c r="AI27" i="12"/>
  <c r="AJ27" i="12" s="1"/>
  <c r="AI25" i="12"/>
  <c r="AJ25" i="12" s="1"/>
  <c r="AI28" i="12"/>
  <c r="AJ28" i="12" s="1"/>
  <c r="AI26" i="12"/>
  <c r="AJ26" i="12" s="1"/>
  <c r="AI22" i="12"/>
  <c r="AJ22" i="12" s="1"/>
  <c r="AI21" i="12"/>
  <c r="AI23" i="12"/>
  <c r="AJ23" i="12" s="1"/>
  <c r="AI24" i="12"/>
  <c r="AJ24" i="12" s="1"/>
  <c r="AI16" i="12"/>
  <c r="AJ16" i="12" s="1"/>
  <c r="AJ18" i="12"/>
  <c r="G18" i="12" s="1"/>
  <c r="AJ41" i="12"/>
  <c r="H40" i="22" l="1"/>
  <c r="H41" i="22"/>
  <c r="AS4" i="22"/>
  <c r="AR4" i="22"/>
  <c r="AQ4" i="22"/>
  <c r="AT4" i="22" s="1"/>
  <c r="J4" i="22"/>
  <c r="AO45" i="22"/>
  <c r="AL21" i="22"/>
  <c r="AL16" i="22"/>
  <c r="AM17" i="22"/>
  <c r="AO39" i="22"/>
  <c r="AT4" i="21"/>
  <c r="H40" i="21"/>
  <c r="AM18" i="21"/>
  <c r="AL24" i="21"/>
  <c r="AL27" i="20"/>
  <c r="AL30" i="20" s="1"/>
  <c r="H41" i="20"/>
  <c r="H40" i="20"/>
  <c r="AM21" i="20"/>
  <c r="AM16" i="20"/>
  <c r="AN17" i="20"/>
  <c r="AO17" i="20" s="1"/>
  <c r="H17" i="20" s="1"/>
  <c r="AN18" i="18"/>
  <c r="AM24" i="18"/>
  <c r="AM27" i="18" s="1"/>
  <c r="H41" i="18"/>
  <c r="H40" i="18"/>
  <c r="AL27" i="18"/>
  <c r="AL27" i="16"/>
  <c r="AM16" i="16"/>
  <c r="AM21" i="16"/>
  <c r="AN17" i="16"/>
  <c r="AO17" i="16" s="1"/>
  <c r="H17" i="16" s="1"/>
  <c r="H41" i="16"/>
  <c r="H40" i="16"/>
  <c r="AJ47" i="15"/>
  <c r="AG49" i="15"/>
  <c r="AL16" i="15"/>
  <c r="AL21" i="15"/>
  <c r="AM17" i="15"/>
  <c r="AM39" i="15"/>
  <c r="AL39" i="15"/>
  <c r="AN39" i="15"/>
  <c r="AN45" i="15"/>
  <c r="AM45" i="15"/>
  <c r="AL45" i="15"/>
  <c r="I4" i="15"/>
  <c r="G42" i="12"/>
  <c r="G16" i="12"/>
  <c r="H14" i="12"/>
  <c r="H6" i="12"/>
  <c r="AI30" i="12"/>
  <c r="AJ21" i="12"/>
  <c r="AN41" i="22" l="1"/>
  <c r="AM41" i="22"/>
  <c r="AL41" i="22"/>
  <c r="AO41" i="22" s="1"/>
  <c r="AM40" i="22"/>
  <c r="AL40" i="22"/>
  <c r="AN40" i="22"/>
  <c r="AM18" i="22"/>
  <c r="AL24" i="22"/>
  <c r="AL27" i="21"/>
  <c r="AM21" i="21"/>
  <c r="AM16" i="21"/>
  <c r="AN17" i="21"/>
  <c r="AO17" i="21" s="1"/>
  <c r="H17" i="21" s="1"/>
  <c r="AL30" i="21"/>
  <c r="AN41" i="21"/>
  <c r="AL41" i="21"/>
  <c r="AM41" i="21"/>
  <c r="AL40" i="21"/>
  <c r="AN40" i="21"/>
  <c r="AM40" i="21"/>
  <c r="AN18" i="20"/>
  <c r="AN21" i="20" s="1"/>
  <c r="AO21" i="20" s="1"/>
  <c r="AN40" i="20"/>
  <c r="AM40" i="20"/>
  <c r="AL40" i="20"/>
  <c r="AL41" i="20"/>
  <c r="AN41" i="20"/>
  <c r="AM41" i="20"/>
  <c r="AM24" i="20"/>
  <c r="AL41" i="18"/>
  <c r="AN41" i="18"/>
  <c r="AM41" i="18"/>
  <c r="AM30" i="18"/>
  <c r="AL30" i="18"/>
  <c r="AO18" i="18"/>
  <c r="H18" i="18" s="1"/>
  <c r="AN16" i="18"/>
  <c r="AO16" i="18" s="1"/>
  <c r="AN21" i="18"/>
  <c r="AN40" i="18"/>
  <c r="AL40" i="18"/>
  <c r="AM40" i="18"/>
  <c r="AN18" i="16"/>
  <c r="AO18" i="16" s="1"/>
  <c r="H18" i="16" s="1"/>
  <c r="AN16" i="16"/>
  <c r="AO16" i="16" s="1"/>
  <c r="AM24" i="16"/>
  <c r="AN40" i="16"/>
  <c r="AL40" i="16"/>
  <c r="AM40" i="16"/>
  <c r="AL41" i="16"/>
  <c r="AN41" i="16"/>
  <c r="AM41" i="16"/>
  <c r="AL30" i="16"/>
  <c r="AO39" i="15"/>
  <c r="AR4" i="15"/>
  <c r="AS4" i="15"/>
  <c r="J4" i="15"/>
  <c r="AQ4" i="15"/>
  <c r="AO45" i="15"/>
  <c r="AM18" i="15"/>
  <c r="AL24" i="15"/>
  <c r="G47" i="15"/>
  <c r="AJ49" i="15"/>
  <c r="G49" i="15" s="1"/>
  <c r="G37" i="12"/>
  <c r="H8" i="12"/>
  <c r="AH42" i="12"/>
  <c r="AI42" i="12"/>
  <c r="AG42" i="12"/>
  <c r="AJ30" i="12"/>
  <c r="G30" i="12" s="1"/>
  <c r="AL6" i="12"/>
  <c r="AN6" i="12"/>
  <c r="AM6" i="12"/>
  <c r="AL14" i="12"/>
  <c r="AN14" i="12"/>
  <c r="AM14" i="12"/>
  <c r="AO40" i="22" l="1"/>
  <c r="AL27" i="22"/>
  <c r="AL30" i="22"/>
  <c r="AM21" i="22"/>
  <c r="AM16" i="22"/>
  <c r="AN17" i="22"/>
  <c r="AO17" i="22" s="1"/>
  <c r="H17" i="22" s="1"/>
  <c r="AN18" i="21"/>
  <c r="AM24" i="21"/>
  <c r="AO40" i="21"/>
  <c r="AO41" i="21"/>
  <c r="AO18" i="20"/>
  <c r="H18" i="20" s="1"/>
  <c r="H16" i="20" s="1"/>
  <c r="AN16" i="20"/>
  <c r="AO16" i="20" s="1"/>
  <c r="AM27" i="20"/>
  <c r="AM30" i="20" s="1"/>
  <c r="AO41" i="20"/>
  <c r="I6" i="20"/>
  <c r="I8" i="20" s="1"/>
  <c r="H37" i="20"/>
  <c r="AO40" i="20"/>
  <c r="AN24" i="20"/>
  <c r="AN27" i="20" s="1"/>
  <c r="AO40" i="18"/>
  <c r="AN24" i="18"/>
  <c r="AO21" i="18"/>
  <c r="H42" i="18"/>
  <c r="H16" i="18"/>
  <c r="I14" i="18"/>
  <c r="I6" i="18"/>
  <c r="AO41" i="18"/>
  <c r="AN21" i="16"/>
  <c r="AO21" i="16" s="1"/>
  <c r="H37" i="16"/>
  <c r="H42" i="16"/>
  <c r="H16" i="16"/>
  <c r="I6" i="16"/>
  <c r="I8" i="16" s="1"/>
  <c r="I14" i="16"/>
  <c r="AO41" i="16"/>
  <c r="AM27" i="16"/>
  <c r="AO40" i="16"/>
  <c r="AT4" i="15"/>
  <c r="AM21" i="15"/>
  <c r="AM16" i="15"/>
  <c r="AN17" i="15"/>
  <c r="AO17" i="15" s="1"/>
  <c r="H17" i="15" s="1"/>
  <c r="H41" i="15"/>
  <c r="H40" i="15"/>
  <c r="AL27" i="15"/>
  <c r="AN8" i="12"/>
  <c r="AL8" i="12"/>
  <c r="AL17" i="12" s="1"/>
  <c r="AM8" i="12"/>
  <c r="H45" i="12"/>
  <c r="I4" i="12" s="1"/>
  <c r="J4" i="12" s="1"/>
  <c r="H39" i="12"/>
  <c r="AJ42" i="12"/>
  <c r="AO14" i="12"/>
  <c r="AH37" i="12"/>
  <c r="AH47" i="12" s="1"/>
  <c r="AH49" i="12" s="1"/>
  <c r="AI37" i="12"/>
  <c r="AI47" i="12" s="1"/>
  <c r="AI49" i="12" s="1"/>
  <c r="AG37" i="12"/>
  <c r="AO6" i="12"/>
  <c r="AM24" i="22" l="1"/>
  <c r="AN18" i="22"/>
  <c r="AM27" i="21"/>
  <c r="AN21" i="21"/>
  <c r="AN16" i="21"/>
  <c r="AO16" i="21" s="1"/>
  <c r="AO18" i="21"/>
  <c r="H18" i="21" s="1"/>
  <c r="I14" i="20"/>
  <c r="H42" i="20"/>
  <c r="AM42" i="20" s="1"/>
  <c r="AN30" i="20"/>
  <c r="AO30" i="20" s="1"/>
  <c r="AS8" i="20"/>
  <c r="AR8" i="20"/>
  <c r="AQ8" i="20"/>
  <c r="J8" i="20"/>
  <c r="AN42" i="20"/>
  <c r="AQ14" i="20"/>
  <c r="AS14" i="20"/>
  <c r="AR14" i="20"/>
  <c r="J14" i="20"/>
  <c r="AN37" i="20"/>
  <c r="AM37" i="20"/>
  <c r="AL37" i="20"/>
  <c r="AO24" i="20"/>
  <c r="AS6" i="20"/>
  <c r="AR6" i="20"/>
  <c r="AQ6" i="20"/>
  <c r="J6" i="20"/>
  <c r="AO27" i="20"/>
  <c r="AN42" i="18"/>
  <c r="AM42" i="18"/>
  <c r="AL42" i="18"/>
  <c r="AO42" i="18" s="1"/>
  <c r="H37" i="18"/>
  <c r="AS14" i="18"/>
  <c r="AQ14" i="18"/>
  <c r="AR14" i="18"/>
  <c r="J14" i="18"/>
  <c r="AS6" i="18"/>
  <c r="AR6" i="18"/>
  <c r="AQ6" i="18"/>
  <c r="AT6" i="18" s="1"/>
  <c r="J6" i="18"/>
  <c r="AN27" i="18"/>
  <c r="AO27" i="18" s="1"/>
  <c r="AO24" i="18"/>
  <c r="I8" i="18"/>
  <c r="AN24" i="16"/>
  <c r="AN27" i="16" s="1"/>
  <c r="AO27" i="16" s="1"/>
  <c r="AS14" i="16"/>
  <c r="AR14" i="16"/>
  <c r="AQ14" i="16"/>
  <c r="AT14" i="16" s="1"/>
  <c r="J14" i="16"/>
  <c r="AN37" i="16"/>
  <c r="AM37" i="16"/>
  <c r="AL37" i="16"/>
  <c r="AS8" i="16"/>
  <c r="AR8" i="16"/>
  <c r="AQ8" i="16"/>
  <c r="J8" i="16"/>
  <c r="AN42" i="16"/>
  <c r="AM42" i="16"/>
  <c r="AL42" i="16"/>
  <c r="AS6" i="16"/>
  <c r="AR6" i="16"/>
  <c r="AQ6" i="16"/>
  <c r="J6" i="16"/>
  <c r="AM30" i="16"/>
  <c r="AL41" i="15"/>
  <c r="AN41" i="15"/>
  <c r="AM41" i="15"/>
  <c r="AN40" i="15"/>
  <c r="AL40" i="15"/>
  <c r="AM40" i="15"/>
  <c r="AL30" i="15"/>
  <c r="AN18" i="15"/>
  <c r="AM24" i="15"/>
  <c r="AO8" i="12"/>
  <c r="AJ37" i="12"/>
  <c r="AG47" i="12"/>
  <c r="AL18" i="12"/>
  <c r="AN21" i="22" l="1"/>
  <c r="AN16" i="22"/>
  <c r="AO16" i="22" s="1"/>
  <c r="AO18" i="22"/>
  <c r="H18" i="22" s="1"/>
  <c r="AM27" i="22"/>
  <c r="H42" i="21"/>
  <c r="I14" i="21"/>
  <c r="H16" i="21"/>
  <c r="I6" i="21"/>
  <c r="I8" i="21" s="1"/>
  <c r="AN24" i="21"/>
  <c r="AO21" i="21"/>
  <c r="AM30" i="21"/>
  <c r="AL42" i="20"/>
  <c r="AO42" i="20" s="1"/>
  <c r="AT6" i="20"/>
  <c r="AO37" i="20"/>
  <c r="AQ17" i="20"/>
  <c r="AT8" i="20"/>
  <c r="H30" i="20"/>
  <c r="AT14" i="20"/>
  <c r="AS8" i="18"/>
  <c r="AR8" i="18"/>
  <c r="AQ8" i="18"/>
  <c r="J8" i="18"/>
  <c r="AN37" i="18"/>
  <c r="AL37" i="18"/>
  <c r="AM37" i="18"/>
  <c r="AT14" i="18"/>
  <c r="AN30" i="18"/>
  <c r="AT6" i="16"/>
  <c r="AN30" i="16"/>
  <c r="AO24" i="16"/>
  <c r="AO37" i="16"/>
  <c r="AO42" i="16"/>
  <c r="AQ17" i="16"/>
  <c r="AT8" i="16"/>
  <c r="AO30" i="16"/>
  <c r="AO40" i="15"/>
  <c r="AM27" i="15"/>
  <c r="AM30" i="15" s="1"/>
  <c r="AN21" i="15"/>
  <c r="AO18" i="15"/>
  <c r="H18" i="15" s="1"/>
  <c r="AN16" i="15"/>
  <c r="AO16" i="15" s="1"/>
  <c r="AO41" i="15"/>
  <c r="AL21" i="12"/>
  <c r="AL16" i="12"/>
  <c r="AM17" i="12"/>
  <c r="AM18" i="12" s="1"/>
  <c r="AJ47" i="12"/>
  <c r="G47" i="12" s="1"/>
  <c r="AG49" i="12"/>
  <c r="AN45" i="12"/>
  <c r="AM45" i="12"/>
  <c r="AL45" i="12"/>
  <c r="AL39" i="12"/>
  <c r="AN39" i="12"/>
  <c r="AM39" i="12"/>
  <c r="AM30" i="22" l="1"/>
  <c r="H42" i="22"/>
  <c r="I14" i="22"/>
  <c r="H16" i="22"/>
  <c r="I6" i="22"/>
  <c r="I8" i="22" s="1"/>
  <c r="AN24" i="22"/>
  <c r="AO21" i="22"/>
  <c r="AS8" i="21"/>
  <c r="AR8" i="21"/>
  <c r="AQ8" i="21"/>
  <c r="J8" i="21"/>
  <c r="AN27" i="21"/>
  <c r="AO27" i="21" s="1"/>
  <c r="AO24" i="21"/>
  <c r="H37" i="21"/>
  <c r="AS6" i="21"/>
  <c r="AR6" i="21"/>
  <c r="AQ6" i="21"/>
  <c r="J6" i="21"/>
  <c r="AQ14" i="21"/>
  <c r="AR14" i="21"/>
  <c r="AS14" i="21"/>
  <c r="J14" i="21"/>
  <c r="AM42" i="21"/>
  <c r="AN42" i="21"/>
  <c r="AL42" i="21"/>
  <c r="I39" i="20"/>
  <c r="I45" i="20"/>
  <c r="AQ18" i="20"/>
  <c r="AQ17" i="18"/>
  <c r="AT8" i="18"/>
  <c r="AO30" i="18"/>
  <c r="AO37" i="18"/>
  <c r="H30" i="16"/>
  <c r="AQ18" i="16"/>
  <c r="AN24" i="15"/>
  <c r="AO21" i="15"/>
  <c r="H42" i="15"/>
  <c r="I14" i="15"/>
  <c r="H16" i="15"/>
  <c r="I6" i="15"/>
  <c r="AJ49" i="12"/>
  <c r="G49" i="12" s="1"/>
  <c r="AO39" i="12"/>
  <c r="AS4" i="12"/>
  <c r="AQ4" i="12"/>
  <c r="AR4" i="12"/>
  <c r="AO45" i="12"/>
  <c r="AM21" i="12"/>
  <c r="AM16" i="12"/>
  <c r="AN17" i="12"/>
  <c r="AO17" i="12" s="1"/>
  <c r="H17" i="12" s="1"/>
  <c r="AL24" i="12"/>
  <c r="AS8" i="22" l="1"/>
  <c r="AR8" i="22"/>
  <c r="AQ8" i="22"/>
  <c r="J8" i="22"/>
  <c r="AS6" i="22"/>
  <c r="AR6" i="22"/>
  <c r="AQ6" i="22"/>
  <c r="J6" i="22"/>
  <c r="AQ14" i="22"/>
  <c r="AS14" i="22"/>
  <c r="AR14" i="22"/>
  <c r="J14" i="22"/>
  <c r="AM42" i="22"/>
  <c r="AL42" i="22"/>
  <c r="AN42" i="22"/>
  <c r="H37" i="22"/>
  <c r="AN27" i="22"/>
  <c r="AO24" i="22"/>
  <c r="AT6" i="21"/>
  <c r="AO42" i="21"/>
  <c r="AN30" i="21"/>
  <c r="AO30" i="21" s="1"/>
  <c r="AQ17" i="21"/>
  <c r="AT8" i="21"/>
  <c r="AN37" i="21"/>
  <c r="AN47" i="21" s="1"/>
  <c r="AN49" i="21" s="1"/>
  <c r="AL37" i="21"/>
  <c r="AM37" i="21"/>
  <c r="AM47" i="21" s="1"/>
  <c r="AM49" i="21" s="1"/>
  <c r="AT14" i="21"/>
  <c r="AQ28" i="20"/>
  <c r="AQ24" i="20"/>
  <c r="AQ27" i="20"/>
  <c r="AQ25" i="20"/>
  <c r="AQ26" i="20"/>
  <c r="AQ23" i="20"/>
  <c r="AQ16" i="20"/>
  <c r="AQ22" i="20"/>
  <c r="AQ21" i="20"/>
  <c r="AR17" i="20"/>
  <c r="AR18" i="20" s="1"/>
  <c r="AN43" i="20"/>
  <c r="AM43" i="20"/>
  <c r="AL43" i="20"/>
  <c r="AQ45" i="20"/>
  <c r="AS45" i="20"/>
  <c r="AR45" i="20"/>
  <c r="K4" i="20"/>
  <c r="H36" i="20"/>
  <c r="H35" i="20"/>
  <c r="AN34" i="20"/>
  <c r="AM34" i="20"/>
  <c r="AL34" i="20"/>
  <c r="H33" i="20"/>
  <c r="AS39" i="20"/>
  <c r="AR39" i="20"/>
  <c r="AQ39" i="20"/>
  <c r="H30" i="18"/>
  <c r="AQ18" i="18"/>
  <c r="AQ28" i="16"/>
  <c r="AQ27" i="16"/>
  <c r="AQ26" i="16"/>
  <c r="AQ25" i="16"/>
  <c r="AQ22" i="16"/>
  <c r="AQ21" i="16"/>
  <c r="AQ23" i="16"/>
  <c r="AQ24" i="16"/>
  <c r="AQ16" i="16"/>
  <c r="AR17" i="16"/>
  <c r="AR18" i="16" s="1"/>
  <c r="I39" i="16"/>
  <c r="I45" i="16"/>
  <c r="H43" i="16"/>
  <c r="H34" i="16"/>
  <c r="H37" i="15"/>
  <c r="AR6" i="15"/>
  <c r="AQ6" i="15"/>
  <c r="AS6" i="15"/>
  <c r="J6" i="15"/>
  <c r="I8" i="15"/>
  <c r="AN27" i="15"/>
  <c r="AO27" i="15" s="1"/>
  <c r="AO24" i="15"/>
  <c r="AS14" i="15"/>
  <c r="AR14" i="15"/>
  <c r="AQ14" i="15"/>
  <c r="J14" i="15"/>
  <c r="B4" i="14" s="1"/>
  <c r="AN42" i="15"/>
  <c r="AM42" i="15"/>
  <c r="AL42" i="15"/>
  <c r="H41" i="12"/>
  <c r="H40" i="12"/>
  <c r="AL27" i="12"/>
  <c r="AT4" i="12"/>
  <c r="AN18" i="12"/>
  <c r="AM24" i="12"/>
  <c r="AM27" i="12" s="1"/>
  <c r="AT6" i="22" l="1"/>
  <c r="AO42" i="22"/>
  <c r="AQ17" i="22"/>
  <c r="AT8" i="22"/>
  <c r="AL37" i="22"/>
  <c r="AN37" i="22"/>
  <c r="AM37" i="22"/>
  <c r="AO27" i="22"/>
  <c r="AN30" i="22"/>
  <c r="AT14" i="22"/>
  <c r="H30" i="21"/>
  <c r="AQ18" i="21"/>
  <c r="AO37" i="21"/>
  <c r="AL47" i="21"/>
  <c r="AO34" i="20"/>
  <c r="AO43" i="20"/>
  <c r="AT39" i="20"/>
  <c r="J39" i="20" s="1"/>
  <c r="AT45" i="20"/>
  <c r="J45" i="20" s="1"/>
  <c r="AN33" i="20"/>
  <c r="AM33" i="20"/>
  <c r="AL33" i="20"/>
  <c r="AN35" i="20"/>
  <c r="AM35" i="20"/>
  <c r="AL35" i="20"/>
  <c r="AY4" i="20"/>
  <c r="AX4" i="20"/>
  <c r="AW4" i="20"/>
  <c r="AQ30" i="20"/>
  <c r="AR28" i="20"/>
  <c r="AR24" i="20"/>
  <c r="AR27" i="20"/>
  <c r="AR25" i="20"/>
  <c r="AR26" i="20"/>
  <c r="AR16" i="20"/>
  <c r="AR22" i="20"/>
  <c r="AR21" i="20"/>
  <c r="AR23" i="20"/>
  <c r="AS17" i="20"/>
  <c r="AT17" i="20" s="1"/>
  <c r="I17" i="20" s="1"/>
  <c r="AL36" i="20"/>
  <c r="AN36" i="20"/>
  <c r="AM36" i="20"/>
  <c r="AQ28" i="18"/>
  <c r="AQ27" i="18"/>
  <c r="AQ24" i="18"/>
  <c r="AQ16" i="18"/>
  <c r="AR18" i="18"/>
  <c r="AQ26" i="18"/>
  <c r="AQ22" i="18"/>
  <c r="AQ21" i="18"/>
  <c r="AQ25" i="18"/>
  <c r="AQ23" i="18"/>
  <c r="AR17" i="18"/>
  <c r="I39" i="18"/>
  <c r="I45" i="18"/>
  <c r="H43" i="18"/>
  <c r="H34" i="18"/>
  <c r="AQ45" i="16"/>
  <c r="AS45" i="16"/>
  <c r="AR45" i="16"/>
  <c r="K4" i="16"/>
  <c r="H36" i="16"/>
  <c r="H35" i="16"/>
  <c r="AN34" i="16"/>
  <c r="AM34" i="16"/>
  <c r="AL34" i="16"/>
  <c r="H33" i="16"/>
  <c r="AN43" i="16"/>
  <c r="AM43" i="16"/>
  <c r="AL43" i="16"/>
  <c r="AR28" i="16"/>
  <c r="AR27" i="16"/>
  <c r="AR26" i="16"/>
  <c r="AR22" i="16"/>
  <c r="AR21" i="16"/>
  <c r="AR23" i="16"/>
  <c r="AR24" i="16"/>
  <c r="AR16" i="16"/>
  <c r="AR25" i="16"/>
  <c r="AS17" i="16"/>
  <c r="AS18" i="16" s="1"/>
  <c r="AR39" i="16"/>
  <c r="AQ39" i="16"/>
  <c r="AS39" i="16"/>
  <c r="AQ30" i="16"/>
  <c r="AT14" i="15"/>
  <c r="AT6" i="15"/>
  <c r="AN30" i="15"/>
  <c r="AR8" i="15"/>
  <c r="AQ8" i="15"/>
  <c r="AS8" i="15"/>
  <c r="J8" i="15"/>
  <c r="B3" i="14" s="1"/>
  <c r="AO42" i="15"/>
  <c r="AL37" i="15"/>
  <c r="AN37" i="15"/>
  <c r="AM37" i="15"/>
  <c r="AL41" i="12"/>
  <c r="AM41" i="12"/>
  <c r="AN41" i="12"/>
  <c r="AM30" i="12"/>
  <c r="AN16" i="12"/>
  <c r="AO16" i="12" s="1"/>
  <c r="AN21" i="12"/>
  <c r="AO18" i="12"/>
  <c r="H18" i="12" s="1"/>
  <c r="AL30" i="12"/>
  <c r="AN40" i="12"/>
  <c r="AL40" i="12"/>
  <c r="AM40" i="12"/>
  <c r="AO37" i="22" l="1"/>
  <c r="AQ18" i="22"/>
  <c r="AO30" i="22"/>
  <c r="AO47" i="21"/>
  <c r="AL49" i="21"/>
  <c r="I39" i="21"/>
  <c r="I45" i="21"/>
  <c r="AQ26" i="21"/>
  <c r="AQ22" i="21"/>
  <c r="AQ21" i="21"/>
  <c r="AQ23" i="21"/>
  <c r="AQ28" i="21"/>
  <c r="AQ24" i="21"/>
  <c r="AQ27" i="21"/>
  <c r="AQ25" i="21"/>
  <c r="AQ16" i="21"/>
  <c r="AR17" i="21"/>
  <c r="AR18" i="21" s="1"/>
  <c r="AO35" i="20"/>
  <c r="AM47" i="20"/>
  <c r="AM49" i="20" s="1"/>
  <c r="AN47" i="20"/>
  <c r="AN49" i="20" s="1"/>
  <c r="AL47" i="20"/>
  <c r="AO33" i="20"/>
  <c r="AR30" i="20"/>
  <c r="AS18" i="20"/>
  <c r="AO36" i="20"/>
  <c r="AZ4" i="20"/>
  <c r="AN43" i="18"/>
  <c r="AM43" i="18"/>
  <c r="AL43" i="18"/>
  <c r="AR27" i="18"/>
  <c r="AR25" i="18"/>
  <c r="AR26" i="18"/>
  <c r="AR22" i="18"/>
  <c r="AR21" i="18"/>
  <c r="AR23" i="18"/>
  <c r="AR24" i="18"/>
  <c r="AR28" i="18"/>
  <c r="AR16" i="18"/>
  <c r="AS17" i="18"/>
  <c r="AT17" i="18" s="1"/>
  <c r="I17" i="18" s="1"/>
  <c r="AR39" i="18"/>
  <c r="AQ39" i="18"/>
  <c r="AS39" i="18"/>
  <c r="H33" i="18"/>
  <c r="H35" i="18"/>
  <c r="AN34" i="18"/>
  <c r="AM34" i="18"/>
  <c r="AL34" i="18"/>
  <c r="H36" i="18"/>
  <c r="AQ30" i="18"/>
  <c r="AQ45" i="18"/>
  <c r="AS45" i="18"/>
  <c r="AR45" i="18"/>
  <c r="K4" i="18"/>
  <c r="AO43" i="16"/>
  <c r="AT17" i="16"/>
  <c r="I17" i="16" s="1"/>
  <c r="AN35" i="16"/>
  <c r="AM35" i="16"/>
  <c r="AL35" i="16"/>
  <c r="AN36" i="16"/>
  <c r="AM36" i="16"/>
  <c r="AL36" i="16"/>
  <c r="AR30" i="16"/>
  <c r="AX4" i="16"/>
  <c r="AW4" i="16"/>
  <c r="AY4" i="16"/>
  <c r="AS27" i="16"/>
  <c r="AT27" i="16" s="1"/>
  <c r="J27" i="16" s="1"/>
  <c r="AS26" i="16"/>
  <c r="AT26" i="16" s="1"/>
  <c r="J26" i="16" s="1"/>
  <c r="AS28" i="16"/>
  <c r="AT28" i="16" s="1"/>
  <c r="J28" i="16" s="1"/>
  <c r="AS22" i="16"/>
  <c r="AT22" i="16" s="1"/>
  <c r="J22" i="16" s="1"/>
  <c r="AS21" i="16"/>
  <c r="AT21" i="16" s="1"/>
  <c r="AS23" i="16"/>
  <c r="AT23" i="16" s="1"/>
  <c r="J23" i="16" s="1"/>
  <c r="AS24" i="16"/>
  <c r="AT24" i="16" s="1"/>
  <c r="J24" i="16" s="1"/>
  <c r="J18" i="16"/>
  <c r="J17" i="16" s="1"/>
  <c r="AS16" i="16"/>
  <c r="AT16" i="16" s="1"/>
  <c r="AS25" i="16"/>
  <c r="AT25" i="16" s="1"/>
  <c r="J25" i="16" s="1"/>
  <c r="AT18" i="16"/>
  <c r="I18" i="16" s="1"/>
  <c r="AN33" i="16"/>
  <c r="AM33" i="16"/>
  <c r="AL33" i="16"/>
  <c r="AT39" i="16"/>
  <c r="J39" i="16" s="1"/>
  <c r="AO34" i="16"/>
  <c r="AT45" i="16"/>
  <c r="J45" i="16" s="1"/>
  <c r="AO37" i="15"/>
  <c r="AQ17" i="15"/>
  <c r="AT8" i="15"/>
  <c r="AO30" i="15"/>
  <c r="H42" i="12"/>
  <c r="H16" i="12"/>
  <c r="I14" i="12"/>
  <c r="J14" i="12" s="1"/>
  <c r="I6" i="12"/>
  <c r="J6" i="12" s="1"/>
  <c r="AO40" i="12"/>
  <c r="AN24" i="12"/>
  <c r="AO21" i="12"/>
  <c r="AO41" i="12"/>
  <c r="H30" i="22" l="1"/>
  <c r="AQ26" i="22"/>
  <c r="AQ28" i="22"/>
  <c r="AQ23" i="22"/>
  <c r="AQ24" i="22"/>
  <c r="AQ25" i="22"/>
  <c r="AQ27" i="22"/>
  <c r="AQ22" i="22"/>
  <c r="AQ21" i="22"/>
  <c r="AQ16" i="22"/>
  <c r="AR17" i="22"/>
  <c r="AR45" i="21"/>
  <c r="AS45" i="21"/>
  <c r="AQ45" i="21"/>
  <c r="K4" i="21"/>
  <c r="AR26" i="21"/>
  <c r="AR22" i="21"/>
  <c r="AR21" i="21"/>
  <c r="AR28" i="21"/>
  <c r="AR24" i="21"/>
  <c r="AR16" i="21"/>
  <c r="AR23" i="21"/>
  <c r="AR25" i="21"/>
  <c r="AR27" i="21"/>
  <c r="AS17" i="21"/>
  <c r="AS18" i="21" s="1"/>
  <c r="AR39" i="21"/>
  <c r="AQ39" i="21"/>
  <c r="AS39" i="21"/>
  <c r="AQ30" i="21"/>
  <c r="H47" i="21"/>
  <c r="AO49" i="21"/>
  <c r="H49" i="21" s="1"/>
  <c r="AO47" i="20"/>
  <c r="AL49" i="20"/>
  <c r="AS28" i="20"/>
  <c r="AT28" i="20" s="1"/>
  <c r="J28" i="20" s="1"/>
  <c r="AS24" i="20"/>
  <c r="AT24" i="20" s="1"/>
  <c r="J24" i="20" s="1"/>
  <c r="AS27" i="20"/>
  <c r="AT27" i="20" s="1"/>
  <c r="J27" i="20" s="1"/>
  <c r="AS25" i="20"/>
  <c r="AT25" i="20" s="1"/>
  <c r="J25" i="20" s="1"/>
  <c r="AS26" i="20"/>
  <c r="AT26" i="20" s="1"/>
  <c r="J26" i="20" s="1"/>
  <c r="J18" i="20"/>
  <c r="J17" i="20" s="1"/>
  <c r="AS16" i="20"/>
  <c r="AT16" i="20" s="1"/>
  <c r="AT18" i="20"/>
  <c r="I18" i="20" s="1"/>
  <c r="AS22" i="20"/>
  <c r="AT22" i="20" s="1"/>
  <c r="J22" i="20" s="1"/>
  <c r="AS21" i="20"/>
  <c r="AS23" i="20"/>
  <c r="AT23" i="20" s="1"/>
  <c r="J23" i="20" s="1"/>
  <c r="AO43" i="18"/>
  <c r="AN33" i="18"/>
  <c r="AL33" i="18"/>
  <c r="AM33" i="18"/>
  <c r="AS18" i="18"/>
  <c r="AM35" i="18"/>
  <c r="AL35" i="18"/>
  <c r="AN35" i="18"/>
  <c r="AM36" i="18"/>
  <c r="AL36" i="18"/>
  <c r="AN36" i="18"/>
  <c r="AW4" i="18"/>
  <c r="AY4" i="18"/>
  <c r="AX4" i="18"/>
  <c r="AO34" i="18"/>
  <c r="AT39" i="18"/>
  <c r="J39" i="18" s="1"/>
  <c r="AT45" i="18"/>
  <c r="J45" i="18" s="1"/>
  <c r="AR30" i="18"/>
  <c r="AZ4" i="16"/>
  <c r="AO36" i="16"/>
  <c r="AM47" i="16"/>
  <c r="AM49" i="16" s="1"/>
  <c r="I37" i="16"/>
  <c r="J21" i="16"/>
  <c r="AN47" i="16"/>
  <c r="AN49" i="16" s="1"/>
  <c r="AS30" i="16"/>
  <c r="AL47" i="16"/>
  <c r="AO33" i="16"/>
  <c r="I42" i="16"/>
  <c r="I16" i="16"/>
  <c r="K7" i="16"/>
  <c r="K14" i="16"/>
  <c r="K6" i="16"/>
  <c r="AO35" i="16"/>
  <c r="H30" i="15"/>
  <c r="AQ18" i="15"/>
  <c r="H37" i="12"/>
  <c r="I8" i="12"/>
  <c r="J8" i="12" s="1"/>
  <c r="AN27" i="12"/>
  <c r="AO27" i="12" s="1"/>
  <c r="AO24" i="12"/>
  <c r="AS6" i="12"/>
  <c r="AQ6" i="12"/>
  <c r="AR6" i="12"/>
  <c r="AQ14" i="12"/>
  <c r="AS14" i="12"/>
  <c r="AR14" i="12"/>
  <c r="AN42" i="12"/>
  <c r="AM42" i="12"/>
  <c r="AL42" i="12"/>
  <c r="AQ30" i="22" l="1"/>
  <c r="I39" i="22"/>
  <c r="H43" i="22"/>
  <c r="H34" i="22"/>
  <c r="I45" i="22"/>
  <c r="AR18" i="22"/>
  <c r="AT45" i="21"/>
  <c r="J45" i="21" s="1"/>
  <c r="AT17" i="21"/>
  <c r="I17" i="21" s="1"/>
  <c r="I40" i="21"/>
  <c r="I41" i="21"/>
  <c r="AT39" i="21"/>
  <c r="J39" i="21" s="1"/>
  <c r="AY4" i="21"/>
  <c r="AX4" i="21"/>
  <c r="AW4" i="21"/>
  <c r="AS23" i="21"/>
  <c r="AT23" i="21" s="1"/>
  <c r="J23" i="21" s="1"/>
  <c r="AS28" i="21"/>
  <c r="AT28" i="21" s="1"/>
  <c r="J28" i="21" s="1"/>
  <c r="AS24" i="21"/>
  <c r="AT24" i="21" s="1"/>
  <c r="J24" i="21" s="1"/>
  <c r="J18" i="21"/>
  <c r="J17" i="21" s="1"/>
  <c r="AS27" i="21"/>
  <c r="AT27" i="21" s="1"/>
  <c r="J27" i="21" s="1"/>
  <c r="AS25" i="21"/>
  <c r="AT25" i="21" s="1"/>
  <c r="J25" i="21" s="1"/>
  <c r="AS26" i="21"/>
  <c r="AT26" i="21" s="1"/>
  <c r="J26" i="21" s="1"/>
  <c r="AS22" i="21"/>
  <c r="AT22" i="21" s="1"/>
  <c r="J22" i="21" s="1"/>
  <c r="AS21" i="21"/>
  <c r="AS16" i="21"/>
  <c r="AT16" i="21" s="1"/>
  <c r="AT18" i="21"/>
  <c r="I18" i="21" s="1"/>
  <c r="AR30" i="21"/>
  <c r="I42" i="20"/>
  <c r="K14" i="20"/>
  <c r="I16" i="20"/>
  <c r="K6" i="20"/>
  <c r="K7" i="20"/>
  <c r="H47" i="20"/>
  <c r="AO49" i="20"/>
  <c r="H49" i="20" s="1"/>
  <c r="AS30" i="20"/>
  <c r="AT21" i="20"/>
  <c r="AL47" i="18"/>
  <c r="AO33" i="18"/>
  <c r="AN47" i="18"/>
  <c r="AN49" i="18" s="1"/>
  <c r="AO35" i="18"/>
  <c r="AZ4" i="18"/>
  <c r="AS28" i="18"/>
  <c r="AT28" i="18" s="1"/>
  <c r="J28" i="18" s="1"/>
  <c r="AS27" i="18"/>
  <c r="AT27" i="18" s="1"/>
  <c r="J27" i="18" s="1"/>
  <c r="AS25" i="18"/>
  <c r="AT25" i="18" s="1"/>
  <c r="J25" i="18" s="1"/>
  <c r="AT18" i="18"/>
  <c r="I18" i="18" s="1"/>
  <c r="AS23" i="18"/>
  <c r="AT23" i="18" s="1"/>
  <c r="J23" i="18" s="1"/>
  <c r="AS22" i="18"/>
  <c r="AT22" i="18" s="1"/>
  <c r="J22" i="18" s="1"/>
  <c r="AS21" i="18"/>
  <c r="AS26" i="18"/>
  <c r="AT26" i="18" s="1"/>
  <c r="J26" i="18" s="1"/>
  <c r="AS24" i="18"/>
  <c r="AT24" i="18" s="1"/>
  <c r="J24" i="18" s="1"/>
  <c r="J18" i="18"/>
  <c r="J17" i="18" s="1"/>
  <c r="AS16" i="18"/>
  <c r="AT16" i="18" s="1"/>
  <c r="AO36" i="18"/>
  <c r="AM47" i="18"/>
  <c r="AM49" i="18" s="1"/>
  <c r="K8" i="16"/>
  <c r="AW8" i="16" s="1"/>
  <c r="AY7" i="16"/>
  <c r="AX7" i="16"/>
  <c r="AW7" i="16"/>
  <c r="AS37" i="16"/>
  <c r="AR37" i="16"/>
  <c r="AQ37" i="16"/>
  <c r="AR42" i="16"/>
  <c r="AS42" i="16"/>
  <c r="AQ42" i="16"/>
  <c r="AO47" i="16"/>
  <c r="AL49" i="16"/>
  <c r="AW14" i="16"/>
  <c r="AY14" i="16"/>
  <c r="AX14" i="16"/>
  <c r="AX6" i="16"/>
  <c r="AW6" i="16"/>
  <c r="AY6" i="16"/>
  <c r="AT30" i="16"/>
  <c r="AQ28" i="15"/>
  <c r="AQ27" i="15"/>
  <c r="AQ26" i="15"/>
  <c r="AQ24" i="15"/>
  <c r="AQ25" i="15"/>
  <c r="AQ22" i="15"/>
  <c r="AQ23" i="15"/>
  <c r="AQ21" i="15"/>
  <c r="AQ16" i="15"/>
  <c r="AR17" i="15"/>
  <c r="I45" i="15"/>
  <c r="I39" i="15"/>
  <c r="H43" i="15"/>
  <c r="H34" i="15"/>
  <c r="AN30" i="12"/>
  <c r="AO30" i="12" s="1"/>
  <c r="H30" i="12" s="1"/>
  <c r="AQ8" i="12"/>
  <c r="AQ17" i="12" s="1"/>
  <c r="AR8" i="12"/>
  <c r="AS8" i="12"/>
  <c r="AO42" i="12"/>
  <c r="AT14" i="12"/>
  <c r="AM37" i="12"/>
  <c r="AN37" i="12"/>
  <c r="AL37" i="12"/>
  <c r="AT6" i="12"/>
  <c r="AR27" i="22" l="1"/>
  <c r="AR26" i="22"/>
  <c r="AR25" i="22"/>
  <c r="AR28" i="22"/>
  <c r="AR16" i="22"/>
  <c r="AR23" i="22"/>
  <c r="AR22" i="22"/>
  <c r="AS18" i="22"/>
  <c r="AR24" i="22"/>
  <c r="AR21" i="22"/>
  <c r="AS17" i="22"/>
  <c r="AT17" i="22" s="1"/>
  <c r="I17" i="22" s="1"/>
  <c r="AS45" i="22"/>
  <c r="AR45" i="22"/>
  <c r="AQ45" i="22"/>
  <c r="K4" i="22"/>
  <c r="H35" i="22"/>
  <c r="AN34" i="22"/>
  <c r="H36" i="22"/>
  <c r="AL34" i="22"/>
  <c r="H33" i="22"/>
  <c r="AM34" i="22"/>
  <c r="AN43" i="22"/>
  <c r="AL43" i="22"/>
  <c r="AM43" i="22"/>
  <c r="AS39" i="22"/>
  <c r="AR39" i="22"/>
  <c r="AQ39" i="22"/>
  <c r="AZ4" i="21"/>
  <c r="AS40" i="21"/>
  <c r="AQ40" i="21"/>
  <c r="AR40" i="21"/>
  <c r="I42" i="21"/>
  <c r="K14" i="21"/>
  <c r="I16" i="21"/>
  <c r="K6" i="21"/>
  <c r="K7" i="21"/>
  <c r="AS30" i="21"/>
  <c r="AT21" i="21"/>
  <c r="AS41" i="21"/>
  <c r="AQ41" i="21"/>
  <c r="AR41" i="21"/>
  <c r="K8" i="20"/>
  <c r="AY8" i="20" s="1"/>
  <c r="I40" i="20"/>
  <c r="I41" i="20"/>
  <c r="AY6" i="20"/>
  <c r="AX6" i="20"/>
  <c r="AW6" i="20"/>
  <c r="I37" i="20"/>
  <c r="J21" i="20"/>
  <c r="AY14" i="20"/>
  <c r="AX14" i="20"/>
  <c r="AW14" i="20"/>
  <c r="AY7" i="20"/>
  <c r="AX7" i="20"/>
  <c r="AW7" i="20"/>
  <c r="AZ7" i="20" s="1"/>
  <c r="AT30" i="20"/>
  <c r="AR42" i="20"/>
  <c r="AQ42" i="20"/>
  <c r="AS42" i="20"/>
  <c r="I42" i="18"/>
  <c r="K7" i="18"/>
  <c r="I16" i="18"/>
  <c r="K14" i="18"/>
  <c r="K6" i="18"/>
  <c r="AS30" i="18"/>
  <c r="AT21" i="18"/>
  <c r="AO47" i="18"/>
  <c r="AL49" i="18"/>
  <c r="AZ7" i="16"/>
  <c r="AY8" i="16"/>
  <c r="AX8" i="16"/>
  <c r="AT42" i="16"/>
  <c r="J42" i="16" s="1"/>
  <c r="AZ6" i="16"/>
  <c r="AT37" i="16"/>
  <c r="J37" i="16" s="1"/>
  <c r="I30" i="16"/>
  <c r="AZ14" i="16"/>
  <c r="H47" i="16"/>
  <c r="AO49" i="16"/>
  <c r="H49" i="16" s="1"/>
  <c r="AW17" i="16"/>
  <c r="AZ8" i="16"/>
  <c r="H35" i="15"/>
  <c r="AN34" i="15"/>
  <c r="AM34" i="15"/>
  <c r="AL34" i="15"/>
  <c r="H33" i="15"/>
  <c r="H36" i="15"/>
  <c r="AS39" i="15"/>
  <c r="AR39" i="15"/>
  <c r="AQ39" i="15"/>
  <c r="AQ30" i="15"/>
  <c r="AN43" i="15"/>
  <c r="AM43" i="15"/>
  <c r="AL43" i="15"/>
  <c r="AO43" i="15" s="1"/>
  <c r="AQ45" i="15"/>
  <c r="AS45" i="15"/>
  <c r="AR45" i="15"/>
  <c r="K4" i="15"/>
  <c r="AR18" i="15"/>
  <c r="AT8" i="12"/>
  <c r="I45" i="12"/>
  <c r="K4" i="12" s="1"/>
  <c r="H43" i="12"/>
  <c r="H34" i="12"/>
  <c r="I39" i="12"/>
  <c r="AQ18" i="12"/>
  <c r="AO37" i="12"/>
  <c r="AT45" i="22" l="1"/>
  <c r="J45" i="22" s="1"/>
  <c r="AT39" i="22"/>
  <c r="J39" i="22" s="1"/>
  <c r="AW4" i="22"/>
  <c r="AY4" i="22"/>
  <c r="AX4" i="22"/>
  <c r="AL33" i="22"/>
  <c r="AN33" i="22"/>
  <c r="AM33" i="22"/>
  <c r="AO43" i="22"/>
  <c r="AO34" i="22"/>
  <c r="AS28" i="22"/>
  <c r="AT28" i="22" s="1"/>
  <c r="J28" i="22" s="1"/>
  <c r="AS27" i="22"/>
  <c r="AT27" i="22" s="1"/>
  <c r="J27" i="22" s="1"/>
  <c r="AS24" i="22"/>
  <c r="AS25" i="22"/>
  <c r="AT25" i="22" s="1"/>
  <c r="J25" i="22" s="1"/>
  <c r="AT18" i="22"/>
  <c r="I18" i="22" s="1"/>
  <c r="AS22" i="22"/>
  <c r="AT22" i="22" s="1"/>
  <c r="J22" i="22" s="1"/>
  <c r="AS23" i="22"/>
  <c r="AT23" i="22" s="1"/>
  <c r="J23" i="22" s="1"/>
  <c r="AS16" i="22"/>
  <c r="AT16" i="22" s="1"/>
  <c r="J18" i="22"/>
  <c r="J17" i="22" s="1"/>
  <c r="AS26" i="22"/>
  <c r="AT26" i="22" s="1"/>
  <c r="J26" i="22" s="1"/>
  <c r="AS21" i="22"/>
  <c r="AN36" i="22"/>
  <c r="AL36" i="22"/>
  <c r="AM36" i="22"/>
  <c r="AM35" i="22"/>
  <c r="AL35" i="22"/>
  <c r="AN35" i="22"/>
  <c r="AR30" i="22"/>
  <c r="AT21" i="22"/>
  <c r="AT24" i="22"/>
  <c r="J24" i="22" s="1"/>
  <c r="K8" i="21"/>
  <c r="AY8" i="21" s="1"/>
  <c r="AT41" i="21"/>
  <c r="J41" i="21" s="1"/>
  <c r="AR42" i="21"/>
  <c r="AS42" i="21"/>
  <c r="AQ42" i="21"/>
  <c r="AT30" i="21"/>
  <c r="I37" i="21"/>
  <c r="J21" i="21"/>
  <c r="AY7" i="21"/>
  <c r="AX7" i="21"/>
  <c r="AW7" i="21"/>
  <c r="AT40" i="21"/>
  <c r="J40" i="21" s="1"/>
  <c r="AX14" i="21"/>
  <c r="AW14" i="21"/>
  <c r="AY14" i="21"/>
  <c r="AY6" i="21"/>
  <c r="AX6" i="21"/>
  <c r="AW6" i="21"/>
  <c r="AZ6" i="20"/>
  <c r="AW8" i="20"/>
  <c r="AX8" i="20"/>
  <c r="I30" i="20"/>
  <c r="AS40" i="20"/>
  <c r="AR40" i="20"/>
  <c r="AQ40" i="20"/>
  <c r="AS41" i="20"/>
  <c r="AR41" i="20"/>
  <c r="AQ41" i="20"/>
  <c r="AT42" i="20"/>
  <c r="J42" i="20" s="1"/>
  <c r="AS37" i="20"/>
  <c r="AR37" i="20"/>
  <c r="AQ37" i="20"/>
  <c r="AZ14" i="20"/>
  <c r="AW6" i="18"/>
  <c r="AY6" i="18"/>
  <c r="AX6" i="18"/>
  <c r="K8" i="18"/>
  <c r="AR42" i="18"/>
  <c r="AS42" i="18"/>
  <c r="AQ42" i="18"/>
  <c r="AT42" i="18" s="1"/>
  <c r="J42" i="18" s="1"/>
  <c r="AY14" i="18"/>
  <c r="AW14" i="18"/>
  <c r="AX14" i="18"/>
  <c r="AX7" i="18"/>
  <c r="AW7" i="18"/>
  <c r="AY7" i="18"/>
  <c r="I37" i="18"/>
  <c r="J21" i="18"/>
  <c r="H47" i="18"/>
  <c r="AO49" i="18"/>
  <c r="H49" i="18" s="1"/>
  <c r="AT30" i="18"/>
  <c r="AW18" i="16"/>
  <c r="I41" i="16"/>
  <c r="I40" i="16"/>
  <c r="K39" i="16"/>
  <c r="I43" i="16"/>
  <c r="K45" i="16"/>
  <c r="I34" i="16"/>
  <c r="J30" i="16"/>
  <c r="AO34" i="15"/>
  <c r="AN33" i="15"/>
  <c r="AM33" i="15"/>
  <c r="AL33" i="15"/>
  <c r="AX4" i="15"/>
  <c r="AW4" i="15"/>
  <c r="AY4" i="15"/>
  <c r="AN36" i="15"/>
  <c r="AM36" i="15"/>
  <c r="AL36" i="15"/>
  <c r="AT45" i="15"/>
  <c r="J45" i="15" s="1"/>
  <c r="B15" i="14" s="1"/>
  <c r="AR27" i="15"/>
  <c r="AR26" i="15"/>
  <c r="AR28" i="15"/>
  <c r="AR25" i="15"/>
  <c r="AR22" i="15"/>
  <c r="AR23" i="15"/>
  <c r="AR24" i="15"/>
  <c r="AR21" i="15"/>
  <c r="AR16" i="15"/>
  <c r="AS17" i="15"/>
  <c r="AT17" i="15" s="1"/>
  <c r="I17" i="15" s="1"/>
  <c r="AT39" i="15"/>
  <c r="J39" i="15" s="1"/>
  <c r="AM35" i="15"/>
  <c r="AL35" i="15"/>
  <c r="AN35" i="15"/>
  <c r="H36" i="12"/>
  <c r="H35" i="12"/>
  <c r="H33" i="12"/>
  <c r="AQ25" i="12"/>
  <c r="AQ22" i="12"/>
  <c r="AQ21" i="12"/>
  <c r="AQ28" i="12"/>
  <c r="AQ27" i="12"/>
  <c r="AQ23" i="12"/>
  <c r="AQ24" i="12"/>
  <c r="AQ16" i="12"/>
  <c r="AQ26" i="12"/>
  <c r="AR17" i="12"/>
  <c r="AR18" i="12" s="1"/>
  <c r="AO35" i="22" l="1"/>
  <c r="AL47" i="22"/>
  <c r="AO33" i="22"/>
  <c r="AO36" i="22"/>
  <c r="AZ4" i="22"/>
  <c r="I37" i="22"/>
  <c r="J21" i="22"/>
  <c r="I42" i="22"/>
  <c r="K14" i="22"/>
  <c r="I16" i="22"/>
  <c r="K6" i="22"/>
  <c r="K7" i="22"/>
  <c r="AS30" i="22"/>
  <c r="AM47" i="22"/>
  <c r="AM49" i="22" s="1"/>
  <c r="AN47" i="22"/>
  <c r="AN49" i="22" s="1"/>
  <c r="AW8" i="21"/>
  <c r="AX8" i="21"/>
  <c r="AT42" i="21"/>
  <c r="J42" i="21" s="1"/>
  <c r="AZ7" i="21"/>
  <c r="AZ6" i="21"/>
  <c r="AS37" i="21"/>
  <c r="AR37" i="21"/>
  <c r="AQ37" i="21"/>
  <c r="AW17" i="21"/>
  <c r="AZ8" i="21"/>
  <c r="AZ14" i="21"/>
  <c r="I30" i="21"/>
  <c r="AT37" i="20"/>
  <c r="J37" i="20" s="1"/>
  <c r="AZ8" i="20"/>
  <c r="AW17" i="20"/>
  <c r="AW18" i="20" s="1"/>
  <c r="AT40" i="20"/>
  <c r="J40" i="20" s="1"/>
  <c r="AT41" i="20"/>
  <c r="J41" i="20" s="1"/>
  <c r="K39" i="20"/>
  <c r="K45" i="20"/>
  <c r="I43" i="20"/>
  <c r="J30" i="20"/>
  <c r="I30" i="18"/>
  <c r="I41" i="18"/>
  <c r="I40" i="18"/>
  <c r="AZ14" i="18"/>
  <c r="AX8" i="18"/>
  <c r="AW8" i="18"/>
  <c r="AY8" i="18"/>
  <c r="AZ7" i="18"/>
  <c r="AS37" i="18"/>
  <c r="AQ37" i="18"/>
  <c r="AR37" i="18"/>
  <c r="AZ6" i="18"/>
  <c r="AQ43" i="16"/>
  <c r="AS43" i="16"/>
  <c r="AR43" i="16"/>
  <c r="AX39" i="16"/>
  <c r="AW39" i="16"/>
  <c r="AY39" i="16"/>
  <c r="AS41" i="16"/>
  <c r="AR41" i="16"/>
  <c r="AQ41" i="16"/>
  <c r="AW26" i="16"/>
  <c r="AW28" i="16"/>
  <c r="AW27" i="16"/>
  <c r="AW23" i="16"/>
  <c r="AW24" i="16"/>
  <c r="AW16" i="16"/>
  <c r="AW25" i="16"/>
  <c r="AW22" i="16"/>
  <c r="AW21" i="16"/>
  <c r="AX17" i="16"/>
  <c r="AS40" i="16"/>
  <c r="AQ40" i="16"/>
  <c r="AR40" i="16"/>
  <c r="AQ34" i="16"/>
  <c r="I35" i="16"/>
  <c r="I33" i="16"/>
  <c r="AS34" i="16"/>
  <c r="I36" i="16"/>
  <c r="AR34" i="16"/>
  <c r="AY45" i="16"/>
  <c r="AX45" i="16"/>
  <c r="AW45" i="16"/>
  <c r="AZ45" i="16" s="1"/>
  <c r="L4" i="16"/>
  <c r="AR30" i="15"/>
  <c r="AZ4" i="15"/>
  <c r="AO35" i="15"/>
  <c r="AM47" i="15"/>
  <c r="AM49" i="15" s="1"/>
  <c r="AS18" i="15"/>
  <c r="AL47" i="15"/>
  <c r="AO33" i="15"/>
  <c r="AO36" i="15"/>
  <c r="AN47" i="15"/>
  <c r="AN49" i="15" s="1"/>
  <c r="AR28" i="12"/>
  <c r="AR26" i="12"/>
  <c r="AR24" i="12"/>
  <c r="AR22" i="12"/>
  <c r="AR21" i="12"/>
  <c r="AR25" i="12"/>
  <c r="AR27" i="12"/>
  <c r="AR23" i="12"/>
  <c r="AR16" i="12"/>
  <c r="AS17" i="12"/>
  <c r="AT17" i="12" s="1"/>
  <c r="I17" i="12" s="1"/>
  <c r="AL34" i="12"/>
  <c r="AN34" i="12"/>
  <c r="AM34" i="12"/>
  <c r="AQ39" i="12"/>
  <c r="AS39" i="12"/>
  <c r="AR39" i="12"/>
  <c r="AQ45" i="12"/>
  <c r="AS45" i="12"/>
  <c r="AR45" i="12"/>
  <c r="AQ30" i="12"/>
  <c r="AM43" i="12"/>
  <c r="AL43" i="12"/>
  <c r="AN43" i="12"/>
  <c r="AW6" i="22" l="1"/>
  <c r="AY6" i="22"/>
  <c r="AX6" i="22"/>
  <c r="AY14" i="22"/>
  <c r="AX14" i="22"/>
  <c r="AW14" i="22"/>
  <c r="AY7" i="22"/>
  <c r="AX7" i="22"/>
  <c r="AW7" i="22"/>
  <c r="AQ42" i="22"/>
  <c r="AS42" i="22"/>
  <c r="AR42" i="22"/>
  <c r="AS37" i="22"/>
  <c r="AQ37" i="22"/>
  <c r="AR37" i="22"/>
  <c r="K8" i="22"/>
  <c r="AT30" i="22"/>
  <c r="AO47" i="22"/>
  <c r="AL49" i="22"/>
  <c r="AT37" i="21"/>
  <c r="J37" i="21" s="1"/>
  <c r="AW18" i="21"/>
  <c r="K45" i="21"/>
  <c r="K39" i="21"/>
  <c r="I43" i="21"/>
  <c r="I34" i="21"/>
  <c r="I33" i="21" s="1"/>
  <c r="J30" i="21"/>
  <c r="AQ43" i="20"/>
  <c r="AS43" i="20"/>
  <c r="AR43" i="20"/>
  <c r="I36" i="20"/>
  <c r="AR34" i="20"/>
  <c r="AQ34" i="20"/>
  <c r="I35" i="20"/>
  <c r="I33" i="20"/>
  <c r="AS34" i="20"/>
  <c r="AY45" i="20"/>
  <c r="AX45" i="20"/>
  <c r="AW45" i="20"/>
  <c r="L4" i="20"/>
  <c r="AW27" i="20"/>
  <c r="AW25" i="20"/>
  <c r="AW26" i="20"/>
  <c r="AW28" i="20"/>
  <c r="AW24" i="20"/>
  <c r="AW22" i="20"/>
  <c r="AW21" i="20"/>
  <c r="AW23" i="20"/>
  <c r="AW16" i="20"/>
  <c r="AX17" i="20"/>
  <c r="AY39" i="20"/>
  <c r="AX39" i="20"/>
  <c r="AW39" i="20"/>
  <c r="AT37" i="18"/>
  <c r="J37" i="18" s="1"/>
  <c r="AS41" i="18"/>
  <c r="AR41" i="18"/>
  <c r="AQ41" i="18"/>
  <c r="K39" i="18"/>
  <c r="I43" i="18"/>
  <c r="K45" i="18"/>
  <c r="I34" i="18"/>
  <c r="J30" i="18"/>
  <c r="AS40" i="18"/>
  <c r="AQ40" i="18"/>
  <c r="AR40" i="18"/>
  <c r="AW17" i="18"/>
  <c r="AZ8" i="18"/>
  <c r="AT34" i="16"/>
  <c r="J34" i="16" s="1"/>
  <c r="AZ39" i="16"/>
  <c r="AT40" i="16"/>
  <c r="J40" i="16" s="1"/>
  <c r="AW30" i="16"/>
  <c r="AR33" i="16"/>
  <c r="AQ33" i="16"/>
  <c r="AS33" i="16"/>
  <c r="AS36" i="16"/>
  <c r="AR36" i="16"/>
  <c r="AQ36" i="16"/>
  <c r="BD4" i="16"/>
  <c r="BC4" i="16"/>
  <c r="BB4" i="16"/>
  <c r="AS35" i="16"/>
  <c r="AR35" i="16"/>
  <c r="AQ35" i="16"/>
  <c r="AX18" i="16"/>
  <c r="AT41" i="16"/>
  <c r="J41" i="16" s="1"/>
  <c r="AT43" i="16"/>
  <c r="J43" i="16" s="1"/>
  <c r="AO47" i="15"/>
  <c r="AL49" i="15"/>
  <c r="AS27" i="15"/>
  <c r="AT27" i="15" s="1"/>
  <c r="J27" i="15" s="1"/>
  <c r="AS25" i="15"/>
  <c r="AT25" i="15" s="1"/>
  <c r="J25" i="15" s="1"/>
  <c r="AS26" i="15"/>
  <c r="AT26" i="15" s="1"/>
  <c r="J26" i="15" s="1"/>
  <c r="AS28" i="15"/>
  <c r="AT28" i="15" s="1"/>
  <c r="J28" i="15" s="1"/>
  <c r="J18" i="15"/>
  <c r="AS16" i="15"/>
  <c r="AT16" i="15" s="1"/>
  <c r="AS22" i="15"/>
  <c r="AT22" i="15" s="1"/>
  <c r="J22" i="15" s="1"/>
  <c r="AS23" i="15"/>
  <c r="AT23" i="15" s="1"/>
  <c r="J23" i="15" s="1"/>
  <c r="AS21" i="15"/>
  <c r="AT18" i="15"/>
  <c r="I18" i="15" s="1"/>
  <c r="AS24" i="15"/>
  <c r="AT24" i="15" s="1"/>
  <c r="J24" i="15" s="1"/>
  <c r="B11" i="14" s="1"/>
  <c r="AS18" i="12"/>
  <c r="J18" i="12" s="1"/>
  <c r="AO43" i="12"/>
  <c r="AM33" i="12"/>
  <c r="AN33" i="12"/>
  <c r="AL33" i="12"/>
  <c r="AM36" i="12"/>
  <c r="AL36" i="12"/>
  <c r="AN36" i="12"/>
  <c r="AO34" i="12"/>
  <c r="AR30" i="12"/>
  <c r="AT39" i="12"/>
  <c r="J39" i="12" s="1"/>
  <c r="AX4" i="12"/>
  <c r="AW4" i="12"/>
  <c r="AY4" i="12"/>
  <c r="AN35" i="12"/>
  <c r="AL35" i="12"/>
  <c r="AM35" i="12"/>
  <c r="AT45" i="12"/>
  <c r="J45" i="12" s="1"/>
  <c r="AZ14" i="22" l="1"/>
  <c r="AZ7" i="22"/>
  <c r="AT42" i="22"/>
  <c r="J42" i="22" s="1"/>
  <c r="AT37" i="22"/>
  <c r="J37" i="22" s="1"/>
  <c r="H47" i="22"/>
  <c r="AO49" i="22"/>
  <c r="H49" i="22" s="1"/>
  <c r="AY8" i="22"/>
  <c r="AX8" i="22"/>
  <c r="AW8" i="22"/>
  <c r="AZ6" i="22"/>
  <c r="I30" i="22"/>
  <c r="AS34" i="21"/>
  <c r="I36" i="21"/>
  <c r="AR34" i="21"/>
  <c r="I35" i="21"/>
  <c r="AQ34" i="21"/>
  <c r="AX45" i="21"/>
  <c r="AY45" i="21"/>
  <c r="AW45" i="21"/>
  <c r="L4" i="21"/>
  <c r="AR43" i="21"/>
  <c r="AQ43" i="21"/>
  <c r="AS43" i="21"/>
  <c r="AW28" i="21"/>
  <c r="AW24" i="21"/>
  <c r="AW27" i="21"/>
  <c r="AW25" i="21"/>
  <c r="AW26" i="21"/>
  <c r="AW22" i="21"/>
  <c r="AW21" i="21"/>
  <c r="AW23" i="21"/>
  <c r="AW16" i="21"/>
  <c r="AX17" i="21"/>
  <c r="AX39" i="21"/>
  <c r="AY39" i="21"/>
  <c r="AW39" i="21"/>
  <c r="AZ45" i="20"/>
  <c r="AT34" i="20"/>
  <c r="J34" i="20" s="1"/>
  <c r="AZ39" i="20"/>
  <c r="AS35" i="20"/>
  <c r="AR35" i="20"/>
  <c r="AQ35" i="20"/>
  <c r="AW30" i="20"/>
  <c r="AS33" i="20"/>
  <c r="AR33" i="20"/>
  <c r="AQ33" i="20"/>
  <c r="BD4" i="20"/>
  <c r="BC4" i="20"/>
  <c r="BB4" i="20"/>
  <c r="AS36" i="20"/>
  <c r="AR36" i="20"/>
  <c r="AQ36" i="20"/>
  <c r="AX18" i="20"/>
  <c r="AT43" i="20"/>
  <c r="J43" i="20" s="1"/>
  <c r="AT41" i="18"/>
  <c r="J41" i="18" s="1"/>
  <c r="AY45" i="18"/>
  <c r="AX45" i="18"/>
  <c r="AW45" i="18"/>
  <c r="L4" i="18"/>
  <c r="AQ43" i="18"/>
  <c r="AS43" i="18"/>
  <c r="AR43" i="18"/>
  <c r="AX39" i="18"/>
  <c r="AW39" i="18"/>
  <c r="AY39" i="18"/>
  <c r="AT40" i="18"/>
  <c r="J40" i="18" s="1"/>
  <c r="AW18" i="18"/>
  <c r="AS34" i="18"/>
  <c r="I36" i="18"/>
  <c r="AR34" i="18"/>
  <c r="I35" i="18"/>
  <c r="I33" i="18"/>
  <c r="AQ34" i="18"/>
  <c r="BE4" i="16"/>
  <c r="B12" i="14"/>
  <c r="J17" i="15"/>
  <c r="B7" i="14" s="1"/>
  <c r="B8" i="14"/>
  <c r="AR47" i="16"/>
  <c r="AR49" i="16" s="1"/>
  <c r="AQ47" i="16"/>
  <c r="AT33" i="16"/>
  <c r="J33" i="16" s="1"/>
  <c r="AX26" i="16"/>
  <c r="AX28" i="16"/>
  <c r="AX27" i="16"/>
  <c r="AX24" i="16"/>
  <c r="AX16" i="16"/>
  <c r="AX25" i="16"/>
  <c r="AX22" i="16"/>
  <c r="AX21" i="16"/>
  <c r="AX23" i="16"/>
  <c r="AY17" i="16"/>
  <c r="AZ17" i="16" s="1"/>
  <c r="K17" i="16" s="1"/>
  <c r="AT36" i="16"/>
  <c r="J36" i="16" s="1"/>
  <c r="AS47" i="16"/>
  <c r="AS49" i="16" s="1"/>
  <c r="AT35" i="16"/>
  <c r="J35" i="16" s="1"/>
  <c r="AS30" i="15"/>
  <c r="AT21" i="15"/>
  <c r="H47" i="15"/>
  <c r="AO49" i="15"/>
  <c r="H49" i="15" s="1"/>
  <c r="I42" i="15"/>
  <c r="K6" i="15"/>
  <c r="I16" i="15"/>
  <c r="K7" i="15"/>
  <c r="K14" i="15"/>
  <c r="AS24" i="12"/>
  <c r="AT24" i="12" s="1"/>
  <c r="J24" i="12" s="1"/>
  <c r="AT18" i="12"/>
  <c r="I18" i="12" s="1"/>
  <c r="I42" i="12" s="1"/>
  <c r="AS26" i="12"/>
  <c r="AT26" i="12" s="1"/>
  <c r="J26" i="12" s="1"/>
  <c r="AS23" i="12"/>
  <c r="AT23" i="12" s="1"/>
  <c r="J23" i="12" s="1"/>
  <c r="AS21" i="12"/>
  <c r="AT21" i="12" s="1"/>
  <c r="J21" i="12" s="1"/>
  <c r="AS22" i="12"/>
  <c r="AT22" i="12" s="1"/>
  <c r="J22" i="12" s="1"/>
  <c r="AS28" i="12"/>
  <c r="AT28" i="12" s="1"/>
  <c r="J28" i="12" s="1"/>
  <c r="AS25" i="12"/>
  <c r="AT25" i="12" s="1"/>
  <c r="J25" i="12" s="1"/>
  <c r="AS16" i="12"/>
  <c r="AT16" i="12" s="1"/>
  <c r="AS27" i="12"/>
  <c r="AT27" i="12" s="1"/>
  <c r="J27" i="12" s="1"/>
  <c r="J17" i="12"/>
  <c r="O21" i="3"/>
  <c r="AZ4" i="12"/>
  <c r="AO35" i="12"/>
  <c r="AO36" i="12"/>
  <c r="AL47" i="12"/>
  <c r="AO33" i="12"/>
  <c r="AN47" i="12"/>
  <c r="AN49" i="12" s="1"/>
  <c r="AM47" i="12"/>
  <c r="AM49" i="12" s="1"/>
  <c r="I40" i="22" l="1"/>
  <c r="I41" i="22"/>
  <c r="K45" i="22"/>
  <c r="I43" i="22"/>
  <c r="K39" i="22"/>
  <c r="I34" i="22"/>
  <c r="J30" i="22"/>
  <c r="AW17" i="22"/>
  <c r="AZ8" i="22"/>
  <c r="AT34" i="21"/>
  <c r="J34" i="21" s="1"/>
  <c r="AS33" i="21"/>
  <c r="AR33" i="21"/>
  <c r="J33" i="21" s="1"/>
  <c r="AQ33" i="21"/>
  <c r="AQ35" i="21"/>
  <c r="AR35" i="21"/>
  <c r="AS35" i="21"/>
  <c r="AX18" i="21"/>
  <c r="AT43" i="21"/>
  <c r="J43" i="21" s="1"/>
  <c r="AZ39" i="21"/>
  <c r="AW30" i="21"/>
  <c r="BD4" i="21"/>
  <c r="BC4" i="21"/>
  <c r="BB4" i="21"/>
  <c r="AS36" i="21"/>
  <c r="AR36" i="21"/>
  <c r="AQ36" i="21"/>
  <c r="AZ45" i="21"/>
  <c r="AT36" i="20"/>
  <c r="J36" i="20" s="1"/>
  <c r="AT35" i="20"/>
  <c r="J35" i="20" s="1"/>
  <c r="BE4" i="20"/>
  <c r="AR47" i="20"/>
  <c r="AR49" i="20" s="1"/>
  <c r="AS47" i="20"/>
  <c r="AS49" i="20" s="1"/>
  <c r="AX26" i="20"/>
  <c r="AX28" i="20"/>
  <c r="AX27" i="20"/>
  <c r="AX25" i="20"/>
  <c r="AX24" i="20"/>
  <c r="AX22" i="20"/>
  <c r="AX21" i="20"/>
  <c r="AX23" i="20"/>
  <c r="AX16" i="20"/>
  <c r="AY17" i="20"/>
  <c r="AZ17" i="20" s="1"/>
  <c r="K17" i="20" s="1"/>
  <c r="AQ47" i="20"/>
  <c r="AT33" i="20"/>
  <c r="J33" i="20" s="1"/>
  <c r="AZ45" i="18"/>
  <c r="AS36" i="18"/>
  <c r="AR36" i="18"/>
  <c r="AQ36" i="18"/>
  <c r="AT43" i="18"/>
  <c r="J43" i="18" s="1"/>
  <c r="BD4" i="18"/>
  <c r="BC4" i="18"/>
  <c r="BB4" i="18"/>
  <c r="BE4" i="18" s="1"/>
  <c r="AW27" i="18"/>
  <c r="AW28" i="18"/>
  <c r="AW26" i="18"/>
  <c r="AW22" i="18"/>
  <c r="AW21" i="18"/>
  <c r="AW24" i="18"/>
  <c r="AW16" i="18"/>
  <c r="AX18" i="18"/>
  <c r="AW25" i="18"/>
  <c r="AW23" i="18"/>
  <c r="AX17" i="18"/>
  <c r="AT34" i="18"/>
  <c r="J34" i="18" s="1"/>
  <c r="AS33" i="18"/>
  <c r="AQ33" i="18"/>
  <c r="AR33" i="18"/>
  <c r="AQ35" i="18"/>
  <c r="AR35" i="18"/>
  <c r="AS35" i="18"/>
  <c r="AZ39" i="18"/>
  <c r="AX30" i="16"/>
  <c r="AY18" i="16"/>
  <c r="AT47" i="16"/>
  <c r="AQ49" i="16"/>
  <c r="K8" i="15"/>
  <c r="AX8" i="15" s="1"/>
  <c r="AR42" i="15"/>
  <c r="AQ42" i="15"/>
  <c r="AS42" i="15"/>
  <c r="AY6" i="15"/>
  <c r="AW6" i="15"/>
  <c r="AX6" i="15"/>
  <c r="I40" i="15"/>
  <c r="I41" i="15"/>
  <c r="AY14" i="15"/>
  <c r="AX14" i="15"/>
  <c r="AW14" i="15"/>
  <c r="I37" i="15"/>
  <c r="J21" i="15"/>
  <c r="B10" i="14" s="1"/>
  <c r="AY7" i="15"/>
  <c r="AX7" i="15"/>
  <c r="AW7" i="15"/>
  <c r="AT30" i="15"/>
  <c r="K6" i="12"/>
  <c r="AY6" i="12" s="1"/>
  <c r="K14" i="12"/>
  <c r="AY14" i="12" s="1"/>
  <c r="K7" i="12"/>
  <c r="AX7" i="12" s="1"/>
  <c r="I16" i="12"/>
  <c r="AS30" i="12"/>
  <c r="AT30" i="12" s="1"/>
  <c r="I30" i="12" s="1"/>
  <c r="J30" i="12" s="1"/>
  <c r="I37" i="12"/>
  <c r="AO47" i="12"/>
  <c r="H47" i="12" s="1"/>
  <c r="AL49" i="12"/>
  <c r="AR42" i="12"/>
  <c r="AS42" i="12"/>
  <c r="AQ42" i="12"/>
  <c r="I33" i="22" l="1"/>
  <c r="I36" i="22"/>
  <c r="AR34" i="22"/>
  <c r="I35" i="22"/>
  <c r="AS34" i="22"/>
  <c r="AQ34" i="22"/>
  <c r="AY45" i="22"/>
  <c r="AW45" i="22"/>
  <c r="AX45" i="22"/>
  <c r="L4" i="22"/>
  <c r="AY39" i="22"/>
  <c r="AX39" i="22"/>
  <c r="AW39" i="22"/>
  <c r="AW18" i="22"/>
  <c r="AS41" i="22"/>
  <c r="AQ41" i="22"/>
  <c r="AR41" i="22"/>
  <c r="AS43" i="22"/>
  <c r="AR43" i="22"/>
  <c r="AQ43" i="22"/>
  <c r="AS40" i="22"/>
  <c r="AR40" i="22"/>
  <c r="AQ40" i="22"/>
  <c r="BE4" i="21"/>
  <c r="AT36" i="21"/>
  <c r="J36" i="21" s="1"/>
  <c r="AT35" i="21"/>
  <c r="J35" i="21" s="1"/>
  <c r="AQ47" i="21"/>
  <c r="AT33" i="21"/>
  <c r="AS47" i="21"/>
  <c r="AS49" i="21" s="1"/>
  <c r="AR47" i="21"/>
  <c r="AR49" i="21" s="1"/>
  <c r="AX28" i="21"/>
  <c r="AX24" i="21"/>
  <c r="AX26" i="21"/>
  <c r="AX22" i="21"/>
  <c r="AX21" i="21"/>
  <c r="AX27" i="21"/>
  <c r="AX23" i="21"/>
  <c r="AX25" i="21"/>
  <c r="AX16" i="21"/>
  <c r="AY17" i="21"/>
  <c r="AZ17" i="21" s="1"/>
  <c r="K17" i="21" s="1"/>
  <c r="AY18" i="20"/>
  <c r="AY26" i="20" s="1"/>
  <c r="AZ26" i="20" s="1"/>
  <c r="AX30" i="20"/>
  <c r="AT47" i="20"/>
  <c r="AQ49" i="20"/>
  <c r="AT36" i="18"/>
  <c r="J36" i="18" s="1"/>
  <c r="AR47" i="18"/>
  <c r="AR49" i="18" s="1"/>
  <c r="AS47" i="18"/>
  <c r="AS49" i="18" s="1"/>
  <c r="AX27" i="18"/>
  <c r="AX28" i="18"/>
  <c r="AX23" i="18"/>
  <c r="AX24" i="18"/>
  <c r="AX25" i="18"/>
  <c r="AX26" i="18"/>
  <c r="AX22" i="18"/>
  <c r="AX21" i="18"/>
  <c r="AX16" i="18"/>
  <c r="AY17" i="18"/>
  <c r="AY18" i="18" s="1"/>
  <c r="AW30" i="18"/>
  <c r="AQ47" i="18"/>
  <c r="AT33" i="18"/>
  <c r="J33" i="18" s="1"/>
  <c r="AT35" i="18"/>
  <c r="J35" i="18" s="1"/>
  <c r="I47" i="16"/>
  <c r="J47" i="16" s="1"/>
  <c r="AT49" i="16"/>
  <c r="I49" i="16" s="1"/>
  <c r="AY28" i="16"/>
  <c r="AZ28" i="16" s="1"/>
  <c r="AY27" i="16"/>
  <c r="AZ27" i="16" s="1"/>
  <c r="AY24" i="16"/>
  <c r="AZ24" i="16" s="1"/>
  <c r="AY16" i="16"/>
  <c r="AZ16" i="16" s="1"/>
  <c r="AY25" i="16"/>
  <c r="AZ25" i="16" s="1"/>
  <c r="AZ18" i="16"/>
  <c r="K18" i="16" s="1"/>
  <c r="AY22" i="16"/>
  <c r="AZ22" i="16" s="1"/>
  <c r="AY21" i="16"/>
  <c r="AY23" i="16"/>
  <c r="AZ23" i="16" s="1"/>
  <c r="AY26" i="16"/>
  <c r="AZ26" i="16" s="1"/>
  <c r="AW8" i="15"/>
  <c r="AW17" i="15" s="1"/>
  <c r="AY8" i="15"/>
  <c r="AT42" i="15"/>
  <c r="J42" i="15" s="1"/>
  <c r="AQ37" i="15"/>
  <c r="AS37" i="15"/>
  <c r="AR37" i="15"/>
  <c r="I30" i="15"/>
  <c r="AS41" i="15"/>
  <c r="AR41" i="15"/>
  <c r="AQ41" i="15"/>
  <c r="AZ14" i="15"/>
  <c r="AZ6" i="15"/>
  <c r="AS40" i="15"/>
  <c r="AR40" i="15"/>
  <c r="AQ40" i="15"/>
  <c r="AZ7" i="15"/>
  <c r="AW6" i="12"/>
  <c r="AX6" i="12"/>
  <c r="AW14" i="12"/>
  <c r="AX14" i="12"/>
  <c r="K8" i="12"/>
  <c r="AW8" i="12" s="1"/>
  <c r="AY7" i="12"/>
  <c r="AW7" i="12"/>
  <c r="I43" i="12"/>
  <c r="K39" i="12"/>
  <c r="I34" i="12"/>
  <c r="K45" i="12"/>
  <c r="L4" i="12" s="1"/>
  <c r="AZ6" i="12"/>
  <c r="AT42" i="12"/>
  <c r="J42" i="12" s="1"/>
  <c r="AO49" i="12"/>
  <c r="H49" i="12" s="1"/>
  <c r="AR37" i="12"/>
  <c r="AQ37" i="12"/>
  <c r="AS37" i="12"/>
  <c r="AZ39" i="22" l="1"/>
  <c r="AT43" i="22"/>
  <c r="J43" i="22" s="1"/>
  <c r="AT34" i="22"/>
  <c r="J34" i="22" s="1"/>
  <c r="AT40" i="22"/>
  <c r="J40" i="22" s="1"/>
  <c r="AZ45" i="22"/>
  <c r="AW28" i="22"/>
  <c r="AW27" i="22"/>
  <c r="AW26" i="22"/>
  <c r="AW25" i="22"/>
  <c r="AW22" i="22"/>
  <c r="AW21" i="22"/>
  <c r="AW23" i="22"/>
  <c r="AW24" i="22"/>
  <c r="AW16" i="22"/>
  <c r="AX17" i="22"/>
  <c r="AR35" i="22"/>
  <c r="AS35" i="22"/>
  <c r="AQ35" i="22"/>
  <c r="BD4" i="22"/>
  <c r="BC4" i="22"/>
  <c r="BB4" i="22"/>
  <c r="AS36" i="22"/>
  <c r="AR36" i="22"/>
  <c r="AQ36" i="22"/>
  <c r="AT41" i="22"/>
  <c r="J41" i="22" s="1"/>
  <c r="AS33" i="22"/>
  <c r="AQ33" i="22"/>
  <c r="AR33" i="22"/>
  <c r="AT47" i="21"/>
  <c r="AQ49" i="21"/>
  <c r="AY18" i="21"/>
  <c r="AX30" i="21"/>
  <c r="AY21" i="20"/>
  <c r="AZ21" i="20" s="1"/>
  <c r="K37" i="20" s="1"/>
  <c r="AY27" i="20"/>
  <c r="AZ27" i="20" s="1"/>
  <c r="AY24" i="20"/>
  <c r="AZ24" i="20" s="1"/>
  <c r="AZ18" i="20"/>
  <c r="K18" i="20" s="1"/>
  <c r="L6" i="20" s="1"/>
  <c r="AY28" i="20"/>
  <c r="AZ28" i="20" s="1"/>
  <c r="AY23" i="20"/>
  <c r="AZ23" i="20" s="1"/>
  <c r="AY22" i="20"/>
  <c r="AZ22" i="20" s="1"/>
  <c r="AY25" i="20"/>
  <c r="AZ25" i="20" s="1"/>
  <c r="AY16" i="20"/>
  <c r="AZ16" i="20" s="1"/>
  <c r="I47" i="20"/>
  <c r="J47" i="20" s="1"/>
  <c r="AT49" i="20"/>
  <c r="I49" i="20" s="1"/>
  <c r="K42" i="20"/>
  <c r="L7" i="20"/>
  <c r="AZ17" i="18"/>
  <c r="K17" i="18" s="1"/>
  <c r="AX30" i="18"/>
  <c r="AY28" i="18"/>
  <c r="AZ28" i="18" s="1"/>
  <c r="AY27" i="18"/>
  <c r="AZ27" i="18" s="1"/>
  <c r="AY23" i="18"/>
  <c r="AZ23" i="18" s="1"/>
  <c r="AY25" i="18"/>
  <c r="AZ25" i="18" s="1"/>
  <c r="AZ18" i="18"/>
  <c r="K18" i="18" s="1"/>
  <c r="AY21" i="18"/>
  <c r="AZ21" i="18" s="1"/>
  <c r="AY16" i="18"/>
  <c r="AZ16" i="18" s="1"/>
  <c r="AY26" i="18"/>
  <c r="AZ26" i="18" s="1"/>
  <c r="AY24" i="18"/>
  <c r="AZ24" i="18" s="1"/>
  <c r="AY22" i="18"/>
  <c r="AZ22" i="18" s="1"/>
  <c r="AT47" i="18"/>
  <c r="AQ49" i="18"/>
  <c r="K42" i="16"/>
  <c r="L14" i="16"/>
  <c r="L6" i="16"/>
  <c r="K16" i="16"/>
  <c r="L7" i="16"/>
  <c r="L8" i="16" s="1"/>
  <c r="AY30" i="16"/>
  <c r="AZ21" i="16"/>
  <c r="K40" i="16"/>
  <c r="K41" i="16"/>
  <c r="J49" i="16"/>
  <c r="AZ8" i="15"/>
  <c r="AT41" i="15"/>
  <c r="J41" i="15" s="1"/>
  <c r="AT40" i="15"/>
  <c r="J40" i="15" s="1"/>
  <c r="AW18" i="15"/>
  <c r="K45" i="15"/>
  <c r="I43" i="15"/>
  <c r="K39" i="15"/>
  <c r="I34" i="15"/>
  <c r="J30" i="15"/>
  <c r="B13" i="14" s="1"/>
  <c r="AT37" i="15"/>
  <c r="J37" i="15" s="1"/>
  <c r="AZ14" i="12"/>
  <c r="AZ7" i="12"/>
  <c r="AX8" i="12"/>
  <c r="AY8" i="12"/>
  <c r="I36" i="12"/>
  <c r="I35" i="12"/>
  <c r="I33" i="12"/>
  <c r="I41" i="12"/>
  <c r="I40" i="12"/>
  <c r="AT37" i="12"/>
  <c r="J37" i="12" s="1"/>
  <c r="AW17" i="12"/>
  <c r="AT36" i="22" l="1"/>
  <c r="J36" i="22" s="1"/>
  <c r="AT35" i="22"/>
  <c r="J35" i="22" s="1"/>
  <c r="BE4" i="22"/>
  <c r="AW30" i="22"/>
  <c r="AQ47" i="22"/>
  <c r="AT33" i="22"/>
  <c r="J33" i="22" s="1"/>
  <c r="AX18" i="22"/>
  <c r="AR47" i="22"/>
  <c r="AR49" i="22" s="1"/>
  <c r="AS47" i="22"/>
  <c r="AS49" i="22" s="1"/>
  <c r="AY27" i="21"/>
  <c r="AZ27" i="21" s="1"/>
  <c r="AY25" i="21"/>
  <c r="AZ25" i="21" s="1"/>
  <c r="AY26" i="21"/>
  <c r="AZ26" i="21" s="1"/>
  <c r="AY22" i="21"/>
  <c r="AZ22" i="21" s="1"/>
  <c r="AY21" i="21"/>
  <c r="AY23" i="21"/>
  <c r="AZ23" i="21" s="1"/>
  <c r="AY28" i="21"/>
  <c r="AZ28" i="21" s="1"/>
  <c r="AY24" i="21"/>
  <c r="AZ24" i="21" s="1"/>
  <c r="AZ18" i="21"/>
  <c r="K18" i="21" s="1"/>
  <c r="AY16" i="21"/>
  <c r="AZ16" i="21" s="1"/>
  <c r="I47" i="21"/>
  <c r="J47" i="21" s="1"/>
  <c r="AT49" i="21"/>
  <c r="I49" i="21" s="1"/>
  <c r="K16" i="20"/>
  <c r="L14" i="20"/>
  <c r="BD14" i="20" s="1"/>
  <c r="AY30" i="20"/>
  <c r="AZ30" i="20" s="1"/>
  <c r="K30" i="20" s="1"/>
  <c r="AY42" i="20"/>
  <c r="AX42" i="20"/>
  <c r="AW42" i="20"/>
  <c r="BC7" i="20"/>
  <c r="BB7" i="20"/>
  <c r="BD7" i="20"/>
  <c r="AY37" i="20"/>
  <c r="AX37" i="20"/>
  <c r="AW37" i="20"/>
  <c r="K41" i="20"/>
  <c r="K40" i="20"/>
  <c r="J49" i="20"/>
  <c r="BD6" i="20"/>
  <c r="BC6" i="20"/>
  <c r="BB6" i="20"/>
  <c r="L8" i="20"/>
  <c r="I47" i="18"/>
  <c r="J47" i="18" s="1"/>
  <c r="AT49" i="18"/>
  <c r="I49" i="18" s="1"/>
  <c r="K42" i="18"/>
  <c r="L7" i="18"/>
  <c r="L14" i="18"/>
  <c r="K16" i="18"/>
  <c r="L6" i="18"/>
  <c r="K37" i="18"/>
  <c r="AY30" i="18"/>
  <c r="AY40" i="16"/>
  <c r="AW40" i="16"/>
  <c r="AX40" i="16"/>
  <c r="AW41" i="16"/>
  <c r="AY41" i="16"/>
  <c r="AX41" i="16"/>
  <c r="BD6" i="16"/>
  <c r="BC6" i="16"/>
  <c r="BB6" i="16"/>
  <c r="K37" i="16"/>
  <c r="AZ30" i="16"/>
  <c r="AY42" i="16"/>
  <c r="AX42" i="16"/>
  <c r="AW42" i="16"/>
  <c r="BD8" i="16"/>
  <c r="BC8" i="16"/>
  <c r="BB8" i="16"/>
  <c r="BD14" i="16"/>
  <c r="BC14" i="16"/>
  <c r="BB14" i="16"/>
  <c r="BB7" i="16"/>
  <c r="BD7" i="16"/>
  <c r="BC7" i="16"/>
  <c r="AX39" i="15"/>
  <c r="AW39" i="15"/>
  <c r="AY39" i="15"/>
  <c r="I35" i="15"/>
  <c r="I33" i="15"/>
  <c r="AS34" i="15"/>
  <c r="I36" i="15"/>
  <c r="AR34" i="15"/>
  <c r="AQ34" i="15"/>
  <c r="AW26" i="15"/>
  <c r="AW28" i="15"/>
  <c r="AW27" i="15"/>
  <c r="AW16" i="15"/>
  <c r="AW22" i="15"/>
  <c r="AW23" i="15"/>
  <c r="AW21" i="15"/>
  <c r="AW24" i="15"/>
  <c r="AW25" i="15"/>
  <c r="AX17" i="15"/>
  <c r="AQ43" i="15"/>
  <c r="AS43" i="15"/>
  <c r="AR43" i="15"/>
  <c r="AY45" i="15"/>
  <c r="AX45" i="15"/>
  <c r="AW45" i="15"/>
  <c r="L4" i="15"/>
  <c r="AZ8" i="12"/>
  <c r="AQ34" i="12"/>
  <c r="AS34" i="12"/>
  <c r="AR34" i="12"/>
  <c r="AQ43" i="12"/>
  <c r="AR43" i="12"/>
  <c r="AS43" i="12"/>
  <c r="AS40" i="12"/>
  <c r="AQ40" i="12"/>
  <c r="AR40" i="12"/>
  <c r="AY45" i="12"/>
  <c r="AX45" i="12"/>
  <c r="AW45" i="12"/>
  <c r="AR41" i="12"/>
  <c r="AQ41" i="12"/>
  <c r="AS41" i="12"/>
  <c r="AW39" i="12"/>
  <c r="AY39" i="12"/>
  <c r="AX39" i="12"/>
  <c r="AW18" i="12"/>
  <c r="AX23" i="22" l="1"/>
  <c r="AX28" i="22"/>
  <c r="AX27" i="22"/>
  <c r="AX26" i="22"/>
  <c r="AX22" i="22"/>
  <c r="AX24" i="22"/>
  <c r="AX25" i="22"/>
  <c r="AX21" i="22"/>
  <c r="AX16" i="22"/>
  <c r="AY17" i="22"/>
  <c r="AZ17" i="22" s="1"/>
  <c r="K17" i="22" s="1"/>
  <c r="AT47" i="22"/>
  <c r="AQ49" i="22"/>
  <c r="K41" i="21"/>
  <c r="K40" i="21"/>
  <c r="J49" i="21"/>
  <c r="AY30" i="21"/>
  <c r="AZ21" i="21"/>
  <c r="K42" i="21"/>
  <c r="L14" i="21"/>
  <c r="K16" i="21"/>
  <c r="L7" i="21"/>
  <c r="L6" i="21"/>
  <c r="BB14" i="20"/>
  <c r="BC14" i="20"/>
  <c r="AZ42" i="20"/>
  <c r="BE6" i="20"/>
  <c r="AZ37" i="20"/>
  <c r="BE7" i="20"/>
  <c r="AW41" i="20"/>
  <c r="AY41" i="20"/>
  <c r="AX41" i="20"/>
  <c r="L45" i="20"/>
  <c r="K43" i="20"/>
  <c r="L39" i="20"/>
  <c r="AY40" i="20"/>
  <c r="AX40" i="20"/>
  <c r="AW40" i="20"/>
  <c r="BD8" i="20"/>
  <c r="BC8" i="20"/>
  <c r="BB8" i="20"/>
  <c r="BD14" i="18"/>
  <c r="BB14" i="18"/>
  <c r="BC14" i="18"/>
  <c r="BB7" i="18"/>
  <c r="BC7" i="18"/>
  <c r="BD7" i="18"/>
  <c r="AY37" i="18"/>
  <c r="AW37" i="18"/>
  <c r="AX37" i="18"/>
  <c r="K40" i="18"/>
  <c r="K41" i="18"/>
  <c r="J49" i="18"/>
  <c r="BC6" i="18"/>
  <c r="BB6" i="18"/>
  <c r="BD6" i="18"/>
  <c r="L8" i="18"/>
  <c r="AY42" i="18"/>
  <c r="AX42" i="18"/>
  <c r="AW42" i="18"/>
  <c r="AZ30" i="18"/>
  <c r="BE14" i="16"/>
  <c r="K30" i="16"/>
  <c r="BB17" i="16"/>
  <c r="BE8" i="16"/>
  <c r="AZ41" i="16"/>
  <c r="AY37" i="16"/>
  <c r="AX37" i="16"/>
  <c r="AW37" i="16"/>
  <c r="BE7" i="16"/>
  <c r="AZ40" i="16"/>
  <c r="AZ42" i="16"/>
  <c r="BE6" i="16"/>
  <c r="AQ33" i="15"/>
  <c r="AS33" i="15"/>
  <c r="AR33" i="15"/>
  <c r="AS36" i="15"/>
  <c r="AR36" i="15"/>
  <c r="AQ36" i="15"/>
  <c r="AT43" i="15"/>
  <c r="J43" i="15" s="1"/>
  <c r="AS35" i="15"/>
  <c r="AR35" i="15"/>
  <c r="AQ35" i="15"/>
  <c r="BD4" i="15"/>
  <c r="BC4" i="15"/>
  <c r="BB4" i="15"/>
  <c r="AZ45" i="15"/>
  <c r="AZ39" i="15"/>
  <c r="AW30" i="15"/>
  <c r="AX18" i="15"/>
  <c r="AT34" i="15"/>
  <c r="J34" i="15" s="1"/>
  <c r="B16" i="14" s="1"/>
  <c r="AT40" i="12"/>
  <c r="J40" i="12" s="1"/>
  <c r="AZ45" i="12"/>
  <c r="AT43" i="12"/>
  <c r="J43" i="12" s="1"/>
  <c r="AW27" i="12"/>
  <c r="AW26" i="12"/>
  <c r="AW23" i="12"/>
  <c r="AW28" i="12"/>
  <c r="AW25" i="12"/>
  <c r="AW24" i="12"/>
  <c r="AW22" i="12"/>
  <c r="AW21" i="12"/>
  <c r="AW16" i="12"/>
  <c r="AX17" i="12"/>
  <c r="BD4" i="12"/>
  <c r="BB4" i="12"/>
  <c r="BC4" i="12"/>
  <c r="AS35" i="12"/>
  <c r="AR35" i="12"/>
  <c r="AQ35" i="12"/>
  <c r="AR33" i="12"/>
  <c r="AS33" i="12"/>
  <c r="AQ33" i="12"/>
  <c r="AZ39" i="12"/>
  <c r="AS36" i="12"/>
  <c r="AQ36" i="12"/>
  <c r="AR36" i="12"/>
  <c r="AT41" i="12"/>
  <c r="J41" i="12" s="1"/>
  <c r="AT34" i="12"/>
  <c r="J34" i="12" s="1"/>
  <c r="AX30" i="22" l="1"/>
  <c r="AY18" i="22"/>
  <c r="I47" i="22"/>
  <c r="J47" i="22" s="1"/>
  <c r="AT49" i="22"/>
  <c r="I49" i="22" s="1"/>
  <c r="BD6" i="21"/>
  <c r="BC6" i="21"/>
  <c r="BB6" i="21"/>
  <c r="BC7" i="21"/>
  <c r="BB7" i="21"/>
  <c r="BD7" i="21"/>
  <c r="L8" i="21"/>
  <c r="AZ30" i="21"/>
  <c r="AW40" i="21"/>
  <c r="AY40" i="21"/>
  <c r="AX40" i="21"/>
  <c r="K37" i="21"/>
  <c r="BB14" i="21"/>
  <c r="BC14" i="21"/>
  <c r="BD14" i="21"/>
  <c r="AY41" i="21"/>
  <c r="AW41" i="21"/>
  <c r="AX41" i="21"/>
  <c r="AX42" i="21"/>
  <c r="AY42" i="21"/>
  <c r="AW42" i="21"/>
  <c r="BE14" i="20"/>
  <c r="AZ40" i="20"/>
  <c r="AY43" i="20"/>
  <c r="AX43" i="20"/>
  <c r="AW43" i="20"/>
  <c r="BB45" i="20"/>
  <c r="BD45" i="20"/>
  <c r="BC45" i="20"/>
  <c r="M4" i="20"/>
  <c r="K35" i="20"/>
  <c r="AY34" i="20"/>
  <c r="AX34" i="20"/>
  <c r="K33" i="20"/>
  <c r="AW34" i="20"/>
  <c r="K36" i="20"/>
  <c r="AZ41" i="20"/>
  <c r="BB17" i="20"/>
  <c r="BE8" i="20"/>
  <c r="BD39" i="20"/>
  <c r="BC39" i="20"/>
  <c r="BB39" i="20"/>
  <c r="AZ42" i="18"/>
  <c r="BE6" i="18"/>
  <c r="BE7" i="18"/>
  <c r="AY40" i="18"/>
  <c r="AW40" i="18"/>
  <c r="AX40" i="18"/>
  <c r="K30" i="18"/>
  <c r="AZ37" i="18"/>
  <c r="BE14" i="18"/>
  <c r="AW41" i="18"/>
  <c r="AY41" i="18"/>
  <c r="AX41" i="18"/>
  <c r="BD8" i="18"/>
  <c r="BC8" i="18"/>
  <c r="BB8" i="18"/>
  <c r="AT36" i="15"/>
  <c r="J36" i="15" s="1"/>
  <c r="BB18" i="16"/>
  <c r="L45" i="16"/>
  <c r="K43" i="16"/>
  <c r="L39" i="16"/>
  <c r="K34" i="16"/>
  <c r="AZ37" i="16"/>
  <c r="BE4" i="15"/>
  <c r="AX28" i="15"/>
  <c r="AX27" i="15"/>
  <c r="AX22" i="15"/>
  <c r="AX26" i="15"/>
  <c r="AX23" i="15"/>
  <c r="AX21" i="15"/>
  <c r="AY18" i="15"/>
  <c r="AX24" i="15"/>
  <c r="AX25" i="15"/>
  <c r="AX16" i="15"/>
  <c r="AY17" i="15"/>
  <c r="AZ17" i="15" s="1"/>
  <c r="K17" i="15" s="1"/>
  <c r="AT35" i="15"/>
  <c r="J35" i="15" s="1"/>
  <c r="AS47" i="15"/>
  <c r="AS49" i="15" s="1"/>
  <c r="AR47" i="15"/>
  <c r="AR49" i="15" s="1"/>
  <c r="AQ47" i="15"/>
  <c r="AT33" i="15"/>
  <c r="J33" i="15" s="1"/>
  <c r="B17" i="14" s="1"/>
  <c r="AS47" i="12"/>
  <c r="AS49" i="12" s="1"/>
  <c r="AW30" i="12"/>
  <c r="AQ47" i="12"/>
  <c r="AT33" i="12"/>
  <c r="J33" i="12" s="1"/>
  <c r="BE4" i="12"/>
  <c r="AR47" i="12"/>
  <c r="AR49" i="12" s="1"/>
  <c r="AT35" i="12"/>
  <c r="J35" i="12" s="1"/>
  <c r="AT36" i="12"/>
  <c r="J36" i="12" s="1"/>
  <c r="AX18" i="12"/>
  <c r="AY27" i="22" l="1"/>
  <c r="AZ27" i="22" s="1"/>
  <c r="AY22" i="22"/>
  <c r="AZ22" i="22" s="1"/>
  <c r="AY21" i="22"/>
  <c r="AY23" i="22"/>
  <c r="AZ23" i="22" s="1"/>
  <c r="AY28" i="22"/>
  <c r="AZ28" i="22" s="1"/>
  <c r="AY24" i="22"/>
  <c r="AZ24" i="22" s="1"/>
  <c r="AY26" i="22"/>
  <c r="AZ26" i="22" s="1"/>
  <c r="AY25" i="22"/>
  <c r="AZ25" i="22" s="1"/>
  <c r="AZ18" i="22"/>
  <c r="K18" i="22" s="1"/>
  <c r="AY16" i="22"/>
  <c r="AZ16" i="22" s="1"/>
  <c r="K41" i="22"/>
  <c r="K40" i="22"/>
  <c r="J49" i="22"/>
  <c r="BE6" i="21"/>
  <c r="BE7" i="21"/>
  <c r="AY37" i="21"/>
  <c r="AW37" i="21"/>
  <c r="AX37" i="21"/>
  <c r="AZ42" i="21"/>
  <c r="AZ41" i="21"/>
  <c r="AZ40" i="21"/>
  <c r="K30" i="21"/>
  <c r="BE14" i="21"/>
  <c r="BD8" i="21"/>
  <c r="BC8" i="21"/>
  <c r="BB8" i="21"/>
  <c r="BE39" i="20"/>
  <c r="AZ43" i="20"/>
  <c r="AZ34" i="20"/>
  <c r="BI4" i="20"/>
  <c r="BH4" i="20"/>
  <c r="BG4" i="20"/>
  <c r="AW36" i="20"/>
  <c r="AY36" i="20"/>
  <c r="AX36" i="20"/>
  <c r="AY33" i="20"/>
  <c r="AX33" i="20"/>
  <c r="AW33" i="20"/>
  <c r="BB18" i="20"/>
  <c r="BE45" i="20"/>
  <c r="AY35" i="20"/>
  <c r="AX35" i="20"/>
  <c r="AW35" i="20"/>
  <c r="BB17" i="18"/>
  <c r="BE8" i="18"/>
  <c r="L45" i="18"/>
  <c r="K43" i="18"/>
  <c r="L39" i="18"/>
  <c r="K34" i="18"/>
  <c r="AZ40" i="18"/>
  <c r="AZ41" i="18"/>
  <c r="BB45" i="16"/>
  <c r="BD45" i="16"/>
  <c r="BC45" i="16"/>
  <c r="M4" i="16"/>
  <c r="BC39" i="16"/>
  <c r="BB39" i="16"/>
  <c r="BD39" i="16"/>
  <c r="BB28" i="16"/>
  <c r="BB27" i="16"/>
  <c r="BB26" i="16"/>
  <c r="BB25" i="16"/>
  <c r="BB22" i="16"/>
  <c r="BB21" i="16"/>
  <c r="BB23" i="16"/>
  <c r="BB24" i="16"/>
  <c r="BB16" i="16"/>
  <c r="BC17" i="16"/>
  <c r="BC18" i="16" s="1"/>
  <c r="AY43" i="16"/>
  <c r="AX43" i="16"/>
  <c r="AW43" i="16"/>
  <c r="AY34" i="16"/>
  <c r="AX34" i="16"/>
  <c r="K33" i="16"/>
  <c r="AW34" i="16"/>
  <c r="K36" i="16"/>
  <c r="K35" i="16"/>
  <c r="AY28" i="15"/>
  <c r="AZ28" i="15" s="1"/>
  <c r="AY27" i="15"/>
  <c r="AZ27" i="15" s="1"/>
  <c r="AY26" i="15"/>
  <c r="AZ26" i="15" s="1"/>
  <c r="AY22" i="15"/>
  <c r="AZ22" i="15" s="1"/>
  <c r="AY23" i="15"/>
  <c r="AZ23" i="15" s="1"/>
  <c r="AY21" i="15"/>
  <c r="AZ18" i="15"/>
  <c r="K18" i="15" s="1"/>
  <c r="AY24" i="15"/>
  <c r="AZ24" i="15" s="1"/>
  <c r="AY25" i="15"/>
  <c r="AZ25" i="15" s="1"/>
  <c r="AY16" i="15"/>
  <c r="AZ16" i="15" s="1"/>
  <c r="AT47" i="15"/>
  <c r="AQ49" i="15"/>
  <c r="AX30" i="15"/>
  <c r="AT47" i="12"/>
  <c r="I47" i="12" s="1"/>
  <c r="J47" i="12" s="1"/>
  <c r="AQ49" i="12"/>
  <c r="AX28" i="12"/>
  <c r="AX26" i="12"/>
  <c r="AX22" i="12"/>
  <c r="AX21" i="12"/>
  <c r="AX25" i="12"/>
  <c r="AX24" i="12"/>
  <c r="AX16" i="12"/>
  <c r="AX27" i="12"/>
  <c r="AX23" i="12"/>
  <c r="AY17" i="12"/>
  <c r="AZ17" i="12" s="1"/>
  <c r="K17" i="12" s="1"/>
  <c r="AX40" i="22" l="1"/>
  <c r="AW40" i="22"/>
  <c r="AY40" i="22"/>
  <c r="AY41" i="22"/>
  <c r="AX41" i="22"/>
  <c r="AW41" i="22"/>
  <c r="AY30" i="22"/>
  <c r="AZ21" i="22"/>
  <c r="K42" i="22"/>
  <c r="L14" i="22"/>
  <c r="K16" i="22"/>
  <c r="L6" i="22"/>
  <c r="L7" i="22"/>
  <c r="BB17" i="21"/>
  <c r="BE8" i="21"/>
  <c r="L39" i="21"/>
  <c r="K34" i="21"/>
  <c r="K33" i="21" s="1"/>
  <c r="K43" i="21"/>
  <c r="L45" i="21"/>
  <c r="AZ37" i="21"/>
  <c r="AZ35" i="20"/>
  <c r="BJ4" i="20"/>
  <c r="AW47" i="20"/>
  <c r="AZ33" i="20"/>
  <c r="BB28" i="20"/>
  <c r="BB24" i="20"/>
  <c r="BB27" i="20"/>
  <c r="BB25" i="20"/>
  <c r="BB26" i="20"/>
  <c r="BB23" i="20"/>
  <c r="BB16" i="20"/>
  <c r="BB22" i="20"/>
  <c r="BB21" i="20"/>
  <c r="BC17" i="20"/>
  <c r="AZ36" i="20"/>
  <c r="AX47" i="20"/>
  <c r="AX49" i="20" s="1"/>
  <c r="AY47" i="20"/>
  <c r="AY49" i="20" s="1"/>
  <c r="K35" i="18"/>
  <c r="AY34" i="18"/>
  <c r="AX34" i="18"/>
  <c r="K33" i="18"/>
  <c r="K36" i="18"/>
  <c r="AW34" i="18"/>
  <c r="AY43" i="18"/>
  <c r="AX43" i="18"/>
  <c r="AW43" i="18"/>
  <c r="BC39" i="18"/>
  <c r="BB39" i="18"/>
  <c r="BD39" i="18"/>
  <c r="BB18" i="18"/>
  <c r="BB45" i="18"/>
  <c r="BD45" i="18"/>
  <c r="BC45" i="18"/>
  <c r="M4" i="18"/>
  <c r="BB30" i="16"/>
  <c r="BE39" i="16"/>
  <c r="AZ43" i="16"/>
  <c r="BC28" i="16"/>
  <c r="BC27" i="16"/>
  <c r="BC26" i="16"/>
  <c r="BC22" i="16"/>
  <c r="BC21" i="16"/>
  <c r="BC23" i="16"/>
  <c r="BC24" i="16"/>
  <c r="BC16" i="16"/>
  <c r="BC25" i="16"/>
  <c r="BD17" i="16"/>
  <c r="BD18" i="16" s="1"/>
  <c r="AY35" i="16"/>
  <c r="AX35" i="16"/>
  <c r="AW35" i="16"/>
  <c r="BH4" i="16"/>
  <c r="BG4" i="16"/>
  <c r="BI4" i="16"/>
  <c r="AY36" i="16"/>
  <c r="AX36" i="16"/>
  <c r="AW36" i="16"/>
  <c r="AZ34" i="16"/>
  <c r="AY33" i="16"/>
  <c r="AX33" i="16"/>
  <c r="AW33" i="16"/>
  <c r="BE45" i="16"/>
  <c r="AY30" i="15"/>
  <c r="AZ30" i="15" s="1"/>
  <c r="I47" i="15"/>
  <c r="J47" i="15" s="1"/>
  <c r="B18" i="14" s="1"/>
  <c r="AT49" i="15"/>
  <c r="I49" i="15" s="1"/>
  <c r="AZ21" i="15"/>
  <c r="K42" i="15"/>
  <c r="L6" i="15"/>
  <c r="L7" i="15"/>
  <c r="K16" i="15"/>
  <c r="L14" i="15"/>
  <c r="AX30" i="12"/>
  <c r="AY18" i="12"/>
  <c r="AT49" i="12"/>
  <c r="I49" i="12" s="1"/>
  <c r="J49" i="12" s="1"/>
  <c r="L8" i="22" l="1"/>
  <c r="BC8" i="22" s="1"/>
  <c r="BB14" i="22"/>
  <c r="BD14" i="22"/>
  <c r="BC14" i="22"/>
  <c r="AZ40" i="22"/>
  <c r="K37" i="22"/>
  <c r="AZ30" i="22"/>
  <c r="BD7" i="22"/>
  <c r="BC7" i="22"/>
  <c r="BB7" i="22"/>
  <c r="AX42" i="22"/>
  <c r="AW42" i="22"/>
  <c r="AY42" i="22"/>
  <c r="BD6" i="22"/>
  <c r="BC6" i="22"/>
  <c r="BB6" i="22"/>
  <c r="AZ41" i="22"/>
  <c r="BC39" i="21"/>
  <c r="BB39" i="21"/>
  <c r="BD39" i="21"/>
  <c r="AX43" i="21"/>
  <c r="AY43" i="21"/>
  <c r="AW43" i="21"/>
  <c r="K35" i="21"/>
  <c r="AY34" i="21"/>
  <c r="AX34" i="21"/>
  <c r="K36" i="21"/>
  <c r="AW34" i="21"/>
  <c r="BC45" i="21"/>
  <c r="BB45" i="21"/>
  <c r="BD45" i="21"/>
  <c r="M4" i="21"/>
  <c r="BB18" i="21"/>
  <c r="BC18" i="20"/>
  <c r="BB30" i="20"/>
  <c r="AZ47" i="20"/>
  <c r="AW49" i="20"/>
  <c r="BE45" i="18"/>
  <c r="AZ34" i="18"/>
  <c r="AX36" i="18"/>
  <c r="AW36" i="18"/>
  <c r="AY36" i="18"/>
  <c r="BG4" i="18"/>
  <c r="BI4" i="18"/>
  <c r="BH4" i="18"/>
  <c r="BE39" i="18"/>
  <c r="BB28" i="18"/>
  <c r="BB27" i="18"/>
  <c r="BB24" i="18"/>
  <c r="BB16" i="18"/>
  <c r="BB26" i="18"/>
  <c r="BB22" i="18"/>
  <c r="BB21" i="18"/>
  <c r="BB25" i="18"/>
  <c r="BB23" i="18"/>
  <c r="BC17" i="18"/>
  <c r="BC18" i="18" s="1"/>
  <c r="AY33" i="18"/>
  <c r="AW33" i="18"/>
  <c r="AX33" i="18"/>
  <c r="AZ43" i="18"/>
  <c r="AX35" i="18"/>
  <c r="AW35" i="18"/>
  <c r="AY35" i="18"/>
  <c r="BE17" i="16"/>
  <c r="L17" i="16" s="1"/>
  <c r="AZ36" i="16"/>
  <c r="AX47" i="16"/>
  <c r="AX49" i="16" s="1"/>
  <c r="AY47" i="16"/>
  <c r="AY49" i="16" s="1"/>
  <c r="AZ35" i="16"/>
  <c r="BJ4" i="16"/>
  <c r="BC30" i="16"/>
  <c r="AW47" i="16"/>
  <c r="AZ33" i="16"/>
  <c r="BD27" i="16"/>
  <c r="BE27" i="16" s="1"/>
  <c r="BD25" i="16"/>
  <c r="BE25" i="16" s="1"/>
  <c r="BD26" i="16"/>
  <c r="BE26" i="16" s="1"/>
  <c r="BD28" i="16"/>
  <c r="BE28" i="16" s="1"/>
  <c r="BD22" i="16"/>
  <c r="BE22" i="16" s="1"/>
  <c r="BD21" i="16"/>
  <c r="BE21" i="16" s="1"/>
  <c r="BD23" i="16"/>
  <c r="BE23" i="16" s="1"/>
  <c r="BD24" i="16"/>
  <c r="BE24" i="16" s="1"/>
  <c r="BD16" i="16"/>
  <c r="BE16" i="16" s="1"/>
  <c r="BE18" i="16"/>
  <c r="L18" i="16" s="1"/>
  <c r="L8" i="15"/>
  <c r="BC8" i="15" s="1"/>
  <c r="K37" i="15"/>
  <c r="K30" i="15"/>
  <c r="K41" i="15"/>
  <c r="K40" i="15"/>
  <c r="J49" i="15"/>
  <c r="B20" i="14" s="1"/>
  <c r="AY42" i="15"/>
  <c r="AX42" i="15"/>
  <c r="AW42" i="15"/>
  <c r="BC6" i="15"/>
  <c r="BB6" i="15"/>
  <c r="BD6" i="15"/>
  <c r="BC14" i="15"/>
  <c r="BB14" i="15"/>
  <c r="BD14" i="15"/>
  <c r="BD7" i="15"/>
  <c r="BC7" i="15"/>
  <c r="BB7" i="15"/>
  <c r="K41" i="12"/>
  <c r="K40" i="12"/>
  <c r="AY28" i="12"/>
  <c r="AZ28" i="12" s="1"/>
  <c r="AY26" i="12"/>
  <c r="AZ26" i="12" s="1"/>
  <c r="AY25" i="12"/>
  <c r="AZ25" i="12" s="1"/>
  <c r="AY24" i="12"/>
  <c r="AZ24" i="12" s="1"/>
  <c r="AY16" i="12"/>
  <c r="AZ16" i="12" s="1"/>
  <c r="AY27" i="12"/>
  <c r="AZ27" i="12" s="1"/>
  <c r="AY22" i="12"/>
  <c r="AZ22" i="12" s="1"/>
  <c r="AY21" i="12"/>
  <c r="AY23" i="12"/>
  <c r="AZ23" i="12" s="1"/>
  <c r="AZ18" i="12"/>
  <c r="K18" i="12" s="1"/>
  <c r="BE7" i="22" l="1"/>
  <c r="BB8" i="22"/>
  <c r="BB17" i="22" s="1"/>
  <c r="BD8" i="22"/>
  <c r="BE6" i="22"/>
  <c r="K30" i="22"/>
  <c r="AZ42" i="22"/>
  <c r="AX37" i="22"/>
  <c r="AY37" i="22"/>
  <c r="AW37" i="22"/>
  <c r="BE14" i="22"/>
  <c r="AZ43" i="21"/>
  <c r="AZ34" i="21"/>
  <c r="AX35" i="21"/>
  <c r="AW35" i="21"/>
  <c r="AY35" i="21"/>
  <c r="AY33" i="21"/>
  <c r="AX33" i="21"/>
  <c r="AW33" i="21"/>
  <c r="BB26" i="21"/>
  <c r="BB22" i="21"/>
  <c r="BB21" i="21"/>
  <c r="BB23" i="21"/>
  <c r="BB28" i="21"/>
  <c r="BB24" i="21"/>
  <c r="BB27" i="21"/>
  <c r="BB25" i="21"/>
  <c r="BB16" i="21"/>
  <c r="BC17" i="21"/>
  <c r="BE39" i="21"/>
  <c r="BE45" i="21"/>
  <c r="AX36" i="21"/>
  <c r="AW36" i="21"/>
  <c r="AY36" i="21"/>
  <c r="BI4" i="21"/>
  <c r="BH4" i="21"/>
  <c r="BG4" i="21"/>
  <c r="K47" i="20"/>
  <c r="AZ49" i="20"/>
  <c r="K49" i="20" s="1"/>
  <c r="BC28" i="20"/>
  <c r="BC24" i="20"/>
  <c r="BC27" i="20"/>
  <c r="BC25" i="20"/>
  <c r="BC26" i="20"/>
  <c r="BC16" i="20"/>
  <c r="BC22" i="20"/>
  <c r="BC21" i="20"/>
  <c r="BC23" i="20"/>
  <c r="BD17" i="20"/>
  <c r="BE17" i="20" s="1"/>
  <c r="L17" i="20" s="1"/>
  <c r="AX47" i="18"/>
  <c r="AX49" i="18" s="1"/>
  <c r="AY47" i="18"/>
  <c r="AY49" i="18" s="1"/>
  <c r="AW47" i="18"/>
  <c r="AZ33" i="18"/>
  <c r="AZ35" i="18"/>
  <c r="AZ36" i="18"/>
  <c r="BB30" i="18"/>
  <c r="BC27" i="18"/>
  <c r="BC28" i="18"/>
  <c r="BC25" i="18"/>
  <c r="BC26" i="18"/>
  <c r="BC22" i="18"/>
  <c r="BC21" i="18"/>
  <c r="BC23" i="18"/>
  <c r="BC24" i="18"/>
  <c r="BC16" i="18"/>
  <c r="BD17" i="18"/>
  <c r="BD18" i="18" s="1"/>
  <c r="BJ4" i="18"/>
  <c r="L37" i="16"/>
  <c r="AZ47" i="16"/>
  <c r="AW49" i="16"/>
  <c r="BD30" i="16"/>
  <c r="L42" i="16"/>
  <c r="M14" i="16"/>
  <c r="L16" i="16"/>
  <c r="M6" i="16"/>
  <c r="M8" i="16" s="1"/>
  <c r="M7" i="16"/>
  <c r="AZ42" i="15"/>
  <c r="BE6" i="15"/>
  <c r="BD8" i="15"/>
  <c r="BB8" i="15"/>
  <c r="BB17" i="15" s="1"/>
  <c r="AW37" i="15"/>
  <c r="AY37" i="15"/>
  <c r="AX37" i="15"/>
  <c r="L45" i="15"/>
  <c r="K43" i="15"/>
  <c r="K34" i="15"/>
  <c r="L39" i="15"/>
  <c r="AY40" i="15"/>
  <c r="AW40" i="15"/>
  <c r="AX40" i="15"/>
  <c r="BE14" i="15"/>
  <c r="BE7" i="15"/>
  <c r="AW41" i="15"/>
  <c r="AY41" i="15"/>
  <c r="AX41" i="15"/>
  <c r="K16" i="12"/>
  <c r="L6" i="12"/>
  <c r="L7" i="12"/>
  <c r="K42" i="12"/>
  <c r="L14" i="12"/>
  <c r="AW41" i="12"/>
  <c r="AX41" i="12"/>
  <c r="AY41" i="12"/>
  <c r="AY40" i="12"/>
  <c r="AW40" i="12"/>
  <c r="AX40" i="12"/>
  <c r="AY30" i="12"/>
  <c r="AZ21" i="12"/>
  <c r="BE8" i="22" l="1"/>
  <c r="K43" i="22"/>
  <c r="L39" i="22"/>
  <c r="K34" i="22"/>
  <c r="L45" i="22"/>
  <c r="BB18" i="22"/>
  <c r="AZ37" i="22"/>
  <c r="BJ4" i="21"/>
  <c r="AZ36" i="21"/>
  <c r="AW47" i="21"/>
  <c r="AZ33" i="21"/>
  <c r="AX47" i="21"/>
  <c r="AX49" i="21" s="1"/>
  <c r="AY47" i="21"/>
  <c r="AY49" i="21" s="1"/>
  <c r="BB30" i="21"/>
  <c r="AZ35" i="21"/>
  <c r="BC18" i="21"/>
  <c r="BD18" i="20"/>
  <c r="BC30" i="20"/>
  <c r="L41" i="20"/>
  <c r="L40" i="20"/>
  <c r="BE17" i="18"/>
  <c r="L17" i="18" s="1"/>
  <c r="BD28" i="18"/>
  <c r="BE28" i="18" s="1"/>
  <c r="BD27" i="18"/>
  <c r="BE27" i="18" s="1"/>
  <c r="BD25" i="18"/>
  <c r="BE25" i="18" s="1"/>
  <c r="BE18" i="18"/>
  <c r="L18" i="18" s="1"/>
  <c r="BD23" i="18"/>
  <c r="BE23" i="18" s="1"/>
  <c r="BD16" i="18"/>
  <c r="BE16" i="18" s="1"/>
  <c r="BD21" i="18"/>
  <c r="BD26" i="18"/>
  <c r="BE26" i="18" s="1"/>
  <c r="BD24" i="18"/>
  <c r="BE24" i="18" s="1"/>
  <c r="BD22" i="18"/>
  <c r="BE22" i="18" s="1"/>
  <c r="BC30" i="18"/>
  <c r="AZ47" i="18"/>
  <c r="AW49" i="18"/>
  <c r="BE8" i="15"/>
  <c r="BG14" i="16"/>
  <c r="BI14" i="16"/>
  <c r="BH14" i="16"/>
  <c r="BC42" i="16"/>
  <c r="BD42" i="16"/>
  <c r="BB42" i="16"/>
  <c r="BE30" i="16"/>
  <c r="BD37" i="16"/>
  <c r="BB37" i="16"/>
  <c r="BC37" i="16"/>
  <c r="BG8" i="16"/>
  <c r="BH8" i="16"/>
  <c r="BI8" i="16"/>
  <c r="BI7" i="16"/>
  <c r="BH7" i="16"/>
  <c r="BG7" i="16"/>
  <c r="BH6" i="16"/>
  <c r="BG6" i="16"/>
  <c r="BI6" i="16"/>
  <c r="K47" i="16"/>
  <c r="AZ49" i="16"/>
  <c r="K49" i="16" s="1"/>
  <c r="BD39" i="15"/>
  <c r="BC39" i="15"/>
  <c r="BB39" i="15"/>
  <c r="AY43" i="15"/>
  <c r="AX43" i="15"/>
  <c r="AW43" i="15"/>
  <c r="AY34" i="15"/>
  <c r="AX34" i="15"/>
  <c r="K33" i="15"/>
  <c r="AW34" i="15"/>
  <c r="K36" i="15"/>
  <c r="K35" i="15"/>
  <c r="BB18" i="15"/>
  <c r="BB45" i="15"/>
  <c r="BD45" i="15"/>
  <c r="BC45" i="15"/>
  <c r="M4" i="15"/>
  <c r="AZ40" i="15"/>
  <c r="AZ41" i="15"/>
  <c r="AZ37" i="15"/>
  <c r="K37" i="12"/>
  <c r="L8" i="12"/>
  <c r="AZ40" i="12"/>
  <c r="AZ41" i="12"/>
  <c r="BC7" i="12"/>
  <c r="BB7" i="12"/>
  <c r="BD7" i="12"/>
  <c r="BD6" i="12"/>
  <c r="BB6" i="12"/>
  <c r="BC6" i="12"/>
  <c r="BB14" i="12"/>
  <c r="BD14" i="12"/>
  <c r="BC14" i="12"/>
  <c r="AY42" i="12"/>
  <c r="AX42" i="12"/>
  <c r="AW42" i="12"/>
  <c r="AZ30" i="12"/>
  <c r="K30" i="12" s="1"/>
  <c r="BD45" i="22" l="1"/>
  <c r="BC45" i="22"/>
  <c r="BB45" i="22"/>
  <c r="M4" i="22"/>
  <c r="K36" i="22"/>
  <c r="K35" i="22"/>
  <c r="AY34" i="22"/>
  <c r="AW34" i="22"/>
  <c r="K33" i="22"/>
  <c r="AX34" i="22"/>
  <c r="BD39" i="22"/>
  <c r="BC39" i="22"/>
  <c r="BB39" i="22"/>
  <c r="BB26" i="22"/>
  <c r="BB28" i="22"/>
  <c r="BB23" i="22"/>
  <c r="BB27" i="22"/>
  <c r="BB24" i="22"/>
  <c r="BB25" i="22"/>
  <c r="BB22" i="22"/>
  <c r="BB21" i="22"/>
  <c r="BB16" i="22"/>
  <c r="BC17" i="22"/>
  <c r="AY43" i="22"/>
  <c r="AW43" i="22"/>
  <c r="AX43" i="22"/>
  <c r="BC26" i="21"/>
  <c r="BC22" i="21"/>
  <c r="BC21" i="21"/>
  <c r="BC28" i="21"/>
  <c r="BC24" i="21"/>
  <c r="BD18" i="21"/>
  <c r="BC27" i="21"/>
  <c r="BC16" i="21"/>
  <c r="BC25" i="21"/>
  <c r="BC23" i="21"/>
  <c r="BD17" i="21"/>
  <c r="BE17" i="21" s="1"/>
  <c r="L17" i="21" s="1"/>
  <c r="AZ47" i="21"/>
  <c r="AW49" i="21"/>
  <c r="BD28" i="20"/>
  <c r="BE28" i="20" s="1"/>
  <c r="BD24" i="20"/>
  <c r="BE24" i="20" s="1"/>
  <c r="BD27" i="20"/>
  <c r="BE27" i="20" s="1"/>
  <c r="BD25" i="20"/>
  <c r="BE25" i="20" s="1"/>
  <c r="BD26" i="20"/>
  <c r="BE26" i="20" s="1"/>
  <c r="BD16" i="20"/>
  <c r="BE16" i="20" s="1"/>
  <c r="BE18" i="20"/>
  <c r="L18" i="20" s="1"/>
  <c r="BD22" i="20"/>
  <c r="BE22" i="20" s="1"/>
  <c r="BD21" i="20"/>
  <c r="BD23" i="20"/>
  <c r="BE23" i="20" s="1"/>
  <c r="BD41" i="20"/>
  <c r="BC41" i="20"/>
  <c r="BB41" i="20"/>
  <c r="BD40" i="20"/>
  <c r="BC40" i="20"/>
  <c r="BB40" i="20"/>
  <c r="BE40" i="20" s="1"/>
  <c r="BD30" i="18"/>
  <c r="BE30" i="18" s="1"/>
  <c r="L30" i="18" s="1"/>
  <c r="BE21" i="18"/>
  <c r="L42" i="18"/>
  <c r="L16" i="18"/>
  <c r="M7" i="18"/>
  <c r="M6" i="18"/>
  <c r="M14" i="18"/>
  <c r="K47" i="18"/>
  <c r="AZ49" i="18"/>
  <c r="K49" i="18" s="1"/>
  <c r="BE42" i="16"/>
  <c r="BJ7" i="16"/>
  <c r="AZ43" i="15"/>
  <c r="BJ6" i="16"/>
  <c r="BG17" i="16"/>
  <c r="BJ8" i="16"/>
  <c r="BE37" i="16"/>
  <c r="L41" i="16"/>
  <c r="L40" i="16"/>
  <c r="L30" i="16"/>
  <c r="BJ14" i="16"/>
  <c r="BE39" i="15"/>
  <c r="BE45" i="15"/>
  <c r="BB28" i="15"/>
  <c r="BB27" i="15"/>
  <c r="BB26" i="15"/>
  <c r="BB24" i="15"/>
  <c r="BB25" i="15"/>
  <c r="BB22" i="15"/>
  <c r="BB23" i="15"/>
  <c r="BB21" i="15"/>
  <c r="BB16" i="15"/>
  <c r="BC17" i="15"/>
  <c r="BC18" i="15" s="1"/>
  <c r="AX35" i="15"/>
  <c r="AW35" i="15"/>
  <c r="AY35" i="15"/>
  <c r="BH4" i="15"/>
  <c r="BG4" i="15"/>
  <c r="BI4" i="15"/>
  <c r="AZ34" i="15"/>
  <c r="AY36" i="15"/>
  <c r="AX36" i="15"/>
  <c r="AW36" i="15"/>
  <c r="AY33" i="15"/>
  <c r="AX33" i="15"/>
  <c r="AW33" i="15"/>
  <c r="BE7" i="12"/>
  <c r="K34" i="12"/>
  <c r="L39" i="12"/>
  <c r="L45" i="12"/>
  <c r="M4" i="12" s="1"/>
  <c r="K43" i="12"/>
  <c r="BD8" i="12"/>
  <c r="BB8" i="12"/>
  <c r="BB17" i="12" s="1"/>
  <c r="BC8" i="12"/>
  <c r="AZ42" i="12"/>
  <c r="BE14" i="12"/>
  <c r="BE6" i="12"/>
  <c r="AX37" i="12"/>
  <c r="AY37" i="12"/>
  <c r="AW37" i="12"/>
  <c r="AZ34" i="22" l="1"/>
  <c r="BE39" i="22"/>
  <c r="BE45" i="22"/>
  <c r="AX35" i="22"/>
  <c r="AW35" i="22"/>
  <c r="AY35" i="22"/>
  <c r="BB30" i="22"/>
  <c r="BG4" i="22"/>
  <c r="BI4" i="22"/>
  <c r="BH4" i="22"/>
  <c r="BC18" i="22"/>
  <c r="AY36" i="22"/>
  <c r="AW36" i="22"/>
  <c r="AX36" i="22"/>
  <c r="AZ43" i="22"/>
  <c r="AW33" i="22"/>
  <c r="AY33" i="22"/>
  <c r="AX33" i="22"/>
  <c r="K47" i="21"/>
  <c r="AZ49" i="21"/>
  <c r="K49" i="21" s="1"/>
  <c r="BD28" i="21"/>
  <c r="BE28" i="21" s="1"/>
  <c r="BD23" i="21"/>
  <c r="BE23" i="21" s="1"/>
  <c r="BD24" i="21"/>
  <c r="BE24" i="21" s="1"/>
  <c r="BD27" i="21"/>
  <c r="BE27" i="21" s="1"/>
  <c r="BD25" i="21"/>
  <c r="BE25" i="21" s="1"/>
  <c r="BD26" i="21"/>
  <c r="BE26" i="21" s="1"/>
  <c r="BD22" i="21"/>
  <c r="BE22" i="21" s="1"/>
  <c r="BD21" i="21"/>
  <c r="BD16" i="21"/>
  <c r="BE16" i="21" s="1"/>
  <c r="BE18" i="21"/>
  <c r="L18" i="21" s="1"/>
  <c r="BC30" i="21"/>
  <c r="BE41" i="20"/>
  <c r="L42" i="20"/>
  <c r="L16" i="20"/>
  <c r="M14" i="20"/>
  <c r="M7" i="20"/>
  <c r="M6" i="20"/>
  <c r="BD30" i="20"/>
  <c r="BE21" i="20"/>
  <c r="BC42" i="18"/>
  <c r="BD42" i="18"/>
  <c r="BB42" i="18"/>
  <c r="M39" i="18"/>
  <c r="M45" i="18"/>
  <c r="L34" i="18"/>
  <c r="L43" i="18"/>
  <c r="L37" i="18"/>
  <c r="BH6" i="18"/>
  <c r="BG6" i="18"/>
  <c r="BI6" i="18"/>
  <c r="BI14" i="18"/>
  <c r="BG14" i="18"/>
  <c r="BH14" i="18"/>
  <c r="BH7" i="18"/>
  <c r="BG7" i="18"/>
  <c r="BI7" i="18"/>
  <c r="L41" i="18"/>
  <c r="L40" i="18"/>
  <c r="M8" i="18"/>
  <c r="BD41" i="16"/>
  <c r="BC41" i="16"/>
  <c r="BB41" i="16"/>
  <c r="M39" i="16"/>
  <c r="M45" i="16"/>
  <c r="L43" i="16"/>
  <c r="L34" i="16"/>
  <c r="BG18" i="16"/>
  <c r="BD40" i="16"/>
  <c r="BB40" i="16"/>
  <c r="BC40" i="16"/>
  <c r="AZ36" i="15"/>
  <c r="BC27" i="15"/>
  <c r="BC26" i="15"/>
  <c r="BC25" i="15"/>
  <c r="BC22" i="15"/>
  <c r="BC23" i="15"/>
  <c r="BC28" i="15"/>
  <c r="BC24" i="15"/>
  <c r="BC21" i="15"/>
  <c r="BC16" i="15"/>
  <c r="BD17" i="15"/>
  <c r="BD18" i="15" s="1"/>
  <c r="AZ35" i="15"/>
  <c r="BJ4" i="15"/>
  <c r="AW47" i="15"/>
  <c r="AZ33" i="15"/>
  <c r="AY47" i="15"/>
  <c r="AY49" i="15" s="1"/>
  <c r="BB30" i="15"/>
  <c r="AX47" i="15"/>
  <c r="AX49" i="15" s="1"/>
  <c r="BE8" i="12"/>
  <c r="K35" i="12"/>
  <c r="K33" i="12"/>
  <c r="K36" i="12"/>
  <c r="AZ37" i="12"/>
  <c r="BB18" i="12"/>
  <c r="AX47" i="22" l="1"/>
  <c r="AX49" i="22" s="1"/>
  <c r="AZ36" i="22"/>
  <c r="BJ4" i="22"/>
  <c r="AZ35" i="22"/>
  <c r="BC27" i="22"/>
  <c r="BC28" i="22"/>
  <c r="BC25" i="22"/>
  <c r="BC26" i="22"/>
  <c r="BC23" i="22"/>
  <c r="BC22" i="22"/>
  <c r="BC16" i="22"/>
  <c r="BC24" i="22"/>
  <c r="BC21" i="22"/>
  <c r="BD17" i="22"/>
  <c r="BE17" i="22" s="1"/>
  <c r="L17" i="22" s="1"/>
  <c r="AY47" i="22"/>
  <c r="AY49" i="22" s="1"/>
  <c r="AW47" i="22"/>
  <c r="AZ33" i="22"/>
  <c r="L42" i="21"/>
  <c r="M14" i="21"/>
  <c r="M7" i="21"/>
  <c r="L16" i="21"/>
  <c r="M6" i="21"/>
  <c r="BD30" i="21"/>
  <c r="L41" i="21"/>
  <c r="L40" i="21"/>
  <c r="BE21" i="21"/>
  <c r="M8" i="20"/>
  <c r="BI8" i="20" s="1"/>
  <c r="L37" i="20"/>
  <c r="BI7" i="20"/>
  <c r="BH7" i="20"/>
  <c r="BG7" i="20"/>
  <c r="BI14" i="20"/>
  <c r="BH14" i="20"/>
  <c r="BG14" i="20"/>
  <c r="BC42" i="20"/>
  <c r="BB42" i="20"/>
  <c r="BD42" i="20"/>
  <c r="BE30" i="20"/>
  <c r="BI6" i="20"/>
  <c r="BH6" i="20"/>
  <c r="BG6" i="20"/>
  <c r="BE42" i="18"/>
  <c r="BD41" i="18"/>
  <c r="BC41" i="18"/>
  <c r="BB41" i="18"/>
  <c r="BH39" i="18"/>
  <c r="BG39" i="18"/>
  <c r="BI39" i="18"/>
  <c r="L35" i="18"/>
  <c r="BD34" i="18"/>
  <c r="BC34" i="18"/>
  <c r="L33" i="18"/>
  <c r="L36" i="18"/>
  <c r="BB34" i="18"/>
  <c r="BJ6" i="18"/>
  <c r="BH8" i="18"/>
  <c r="BG8" i="18"/>
  <c r="BI8" i="18"/>
  <c r="BB43" i="18"/>
  <c r="BD43" i="18"/>
  <c r="BC43" i="18"/>
  <c r="BD37" i="18"/>
  <c r="BB37" i="18"/>
  <c r="BC37" i="18"/>
  <c r="BI45" i="18"/>
  <c r="BH45" i="18"/>
  <c r="BG45" i="18"/>
  <c r="N4" i="18"/>
  <c r="BJ7" i="18"/>
  <c r="BD40" i="18"/>
  <c r="BB40" i="18"/>
  <c r="BC40" i="18"/>
  <c r="BJ14" i="18"/>
  <c r="BE41" i="16"/>
  <c r="BB34" i="16"/>
  <c r="L33" i="16"/>
  <c r="L36" i="16"/>
  <c r="L35" i="16"/>
  <c r="BD34" i="16"/>
  <c r="BC34" i="16"/>
  <c r="BI45" i="16"/>
  <c r="BH45" i="16"/>
  <c r="BG45" i="16"/>
  <c r="N4" i="16"/>
  <c r="BE40" i="16"/>
  <c r="BH39" i="16"/>
  <c r="BG39" i="16"/>
  <c r="BI39" i="16"/>
  <c r="BB43" i="16"/>
  <c r="BD43" i="16"/>
  <c r="BC43" i="16"/>
  <c r="BG26" i="16"/>
  <c r="BG28" i="16"/>
  <c r="BG27" i="16"/>
  <c r="BG23" i="16"/>
  <c r="BG24" i="16"/>
  <c r="BG16" i="16"/>
  <c r="BG25" i="16"/>
  <c r="BG22" i="16"/>
  <c r="BG21" i="16"/>
  <c r="BH17" i="16"/>
  <c r="BE17" i="15"/>
  <c r="L17" i="15" s="1"/>
  <c r="BC30" i="15"/>
  <c r="BD27" i="15"/>
  <c r="BE27" i="15" s="1"/>
  <c r="BD25" i="15"/>
  <c r="BE25" i="15" s="1"/>
  <c r="BD26" i="15"/>
  <c r="BE26" i="15" s="1"/>
  <c r="BD28" i="15"/>
  <c r="BE28" i="15" s="1"/>
  <c r="BD16" i="15"/>
  <c r="BE16" i="15" s="1"/>
  <c r="BD22" i="15"/>
  <c r="BE22" i="15" s="1"/>
  <c r="BD23" i="15"/>
  <c r="BE23" i="15" s="1"/>
  <c r="BD21" i="15"/>
  <c r="BE21" i="15" s="1"/>
  <c r="BE18" i="15"/>
  <c r="L18" i="15" s="1"/>
  <c r="BD24" i="15"/>
  <c r="BE24" i="15" s="1"/>
  <c r="AZ47" i="15"/>
  <c r="AW49" i="15"/>
  <c r="AX43" i="12"/>
  <c r="AW43" i="12"/>
  <c r="AY43" i="12"/>
  <c r="BB39" i="12"/>
  <c r="BC39" i="12"/>
  <c r="BD39" i="12"/>
  <c r="AW34" i="12"/>
  <c r="AX34" i="12"/>
  <c r="AY34" i="12"/>
  <c r="BB45" i="12"/>
  <c r="BD45" i="12"/>
  <c r="BC45" i="12"/>
  <c r="BB27" i="12"/>
  <c r="BB28" i="12"/>
  <c r="BB22" i="12"/>
  <c r="BB21" i="12"/>
  <c r="BB23" i="12"/>
  <c r="BB26" i="12"/>
  <c r="BB16" i="12"/>
  <c r="BB25" i="12"/>
  <c r="BB24" i="12"/>
  <c r="BC17" i="12"/>
  <c r="BD18" i="22" l="1"/>
  <c r="AZ47" i="22"/>
  <c r="AW49" i="22"/>
  <c r="BC30" i="22"/>
  <c r="M8" i="21"/>
  <c r="BI8" i="21" s="1"/>
  <c r="BH14" i="21"/>
  <c r="BG14" i="21"/>
  <c r="BI14" i="21"/>
  <c r="BD40" i="21"/>
  <c r="BB40" i="21"/>
  <c r="BC40" i="21"/>
  <c r="BC42" i="21"/>
  <c r="BB42" i="21"/>
  <c r="BD42" i="21"/>
  <c r="L37" i="21"/>
  <c r="BD41" i="21"/>
  <c r="BB41" i="21"/>
  <c r="BC41" i="21"/>
  <c r="BE30" i="21"/>
  <c r="BI7" i="21"/>
  <c r="BH7" i="21"/>
  <c r="BG7" i="21"/>
  <c r="BI6" i="21"/>
  <c r="BH6" i="21"/>
  <c r="BG6" i="21"/>
  <c r="BG8" i="20"/>
  <c r="BG17" i="20" s="1"/>
  <c r="BH8" i="20"/>
  <c r="BJ6" i="20"/>
  <c r="BJ14" i="20"/>
  <c r="BD37" i="20"/>
  <c r="BB37" i="20"/>
  <c r="BC37" i="20"/>
  <c r="L30" i="20"/>
  <c r="BE42" i="20"/>
  <c r="BJ7" i="20"/>
  <c r="BE41" i="18"/>
  <c r="BE34" i="18"/>
  <c r="BJ45" i="18"/>
  <c r="BB35" i="18"/>
  <c r="BC35" i="18"/>
  <c r="BD35" i="18"/>
  <c r="BE40" i="18"/>
  <c r="BE37" i="18"/>
  <c r="BJ39" i="18"/>
  <c r="BD36" i="18"/>
  <c r="BC36" i="18"/>
  <c r="BB36" i="18"/>
  <c r="BG17" i="18"/>
  <c r="BJ8" i="18"/>
  <c r="BE43" i="18"/>
  <c r="BD33" i="18"/>
  <c r="BB33" i="18"/>
  <c r="BC33" i="18"/>
  <c r="BM4" i="18"/>
  <c r="BL4" i="18"/>
  <c r="BN4" i="18"/>
  <c r="O4" i="18"/>
  <c r="BE43" i="16"/>
  <c r="BJ39" i="16"/>
  <c r="BD35" i="16"/>
  <c r="BC35" i="16"/>
  <c r="BB35" i="16"/>
  <c r="BG30" i="16"/>
  <c r="BD36" i="16"/>
  <c r="BC36" i="16"/>
  <c r="BB36" i="16"/>
  <c r="BN4" i="16"/>
  <c r="BM4" i="16"/>
  <c r="BL4" i="16"/>
  <c r="O4" i="16"/>
  <c r="BC33" i="16"/>
  <c r="BB33" i="16"/>
  <c r="BD33" i="16"/>
  <c r="BH18" i="16"/>
  <c r="BJ45" i="16"/>
  <c r="BE34" i="16"/>
  <c r="L37" i="15"/>
  <c r="K47" i="15"/>
  <c r="AZ49" i="15"/>
  <c r="K49" i="15" s="1"/>
  <c r="L42" i="15"/>
  <c r="M6" i="15"/>
  <c r="M7" i="15"/>
  <c r="L16" i="15"/>
  <c r="M14" i="15"/>
  <c r="BD30" i="15"/>
  <c r="AZ34" i="12"/>
  <c r="BI4" i="12"/>
  <c r="BH4" i="12"/>
  <c r="BG4" i="12"/>
  <c r="BB30" i="12"/>
  <c r="BE45" i="12"/>
  <c r="BE39" i="12"/>
  <c r="AY36" i="12"/>
  <c r="AX36" i="12"/>
  <c r="AW36" i="12"/>
  <c r="AX33" i="12"/>
  <c r="AY33" i="12"/>
  <c r="AW33" i="12"/>
  <c r="AZ43" i="12"/>
  <c r="BC18" i="12"/>
  <c r="AY35" i="12"/>
  <c r="AX35" i="12"/>
  <c r="AW35" i="12"/>
  <c r="BD28" i="22" l="1"/>
  <c r="BE28" i="22" s="1"/>
  <c r="BD27" i="22"/>
  <c r="BE27" i="22" s="1"/>
  <c r="BD24" i="22"/>
  <c r="BE24" i="22" s="1"/>
  <c r="BD25" i="22"/>
  <c r="BE25" i="22" s="1"/>
  <c r="BD26" i="22"/>
  <c r="BE26" i="22" s="1"/>
  <c r="BE18" i="22"/>
  <c r="L18" i="22" s="1"/>
  <c r="BD22" i="22"/>
  <c r="BE22" i="22" s="1"/>
  <c r="BD23" i="22"/>
  <c r="BE23" i="22" s="1"/>
  <c r="BD16" i="22"/>
  <c r="BE16" i="22" s="1"/>
  <c r="BD21" i="22"/>
  <c r="K47" i="22"/>
  <c r="AZ49" i="22"/>
  <c r="K49" i="22" s="1"/>
  <c r="BJ6" i="21"/>
  <c r="BG8" i="21"/>
  <c r="BG17" i="21" s="1"/>
  <c r="BH8" i="21"/>
  <c r="BJ7" i="21"/>
  <c r="BJ14" i="21"/>
  <c r="BE42" i="21"/>
  <c r="BE41" i="21"/>
  <c r="BB37" i="21"/>
  <c r="BD37" i="21"/>
  <c r="BC37" i="21"/>
  <c r="L30" i="21"/>
  <c r="BE40" i="21"/>
  <c r="BJ8" i="20"/>
  <c r="BG18" i="20"/>
  <c r="L43" i="20"/>
  <c r="M39" i="20"/>
  <c r="M45" i="20"/>
  <c r="BE37" i="20"/>
  <c r="BC47" i="18"/>
  <c r="BC49" i="18" s="1"/>
  <c r="BD47" i="18"/>
  <c r="BD49" i="18" s="1"/>
  <c r="BB47" i="18"/>
  <c r="BE33" i="18"/>
  <c r="BG18" i="18"/>
  <c r="BO4" i="18"/>
  <c r="BE36" i="18"/>
  <c r="BE35" i="18"/>
  <c r="BE35" i="16"/>
  <c r="BO4" i="16"/>
  <c r="BC47" i="16"/>
  <c r="BC49" i="16" s="1"/>
  <c r="BE36" i="16"/>
  <c r="BB47" i="16"/>
  <c r="BE33" i="16"/>
  <c r="BH26" i="16"/>
  <c r="BH28" i="16"/>
  <c r="BH27" i="16"/>
  <c r="BH24" i="16"/>
  <c r="BH16" i="16"/>
  <c r="BH25" i="16"/>
  <c r="BH22" i="16"/>
  <c r="BH21" i="16"/>
  <c r="BH23" i="16"/>
  <c r="BI17" i="16"/>
  <c r="BJ17" i="16" s="1"/>
  <c r="M17" i="16" s="1"/>
  <c r="BD47" i="16"/>
  <c r="BD49" i="16" s="1"/>
  <c r="M8" i="15"/>
  <c r="BI8" i="15" s="1"/>
  <c r="BI7" i="15"/>
  <c r="BH7" i="15"/>
  <c r="BG7" i="15"/>
  <c r="BI14" i="15"/>
  <c r="BH14" i="15"/>
  <c r="BG14" i="15"/>
  <c r="L41" i="15"/>
  <c r="L40" i="15"/>
  <c r="BI6" i="15"/>
  <c r="BG6" i="15"/>
  <c r="BH6" i="15"/>
  <c r="BE30" i="15"/>
  <c r="BC42" i="15"/>
  <c r="BB42" i="15"/>
  <c r="BD42" i="15"/>
  <c r="BB37" i="15"/>
  <c r="BD37" i="15"/>
  <c r="BC37" i="15"/>
  <c r="BC28" i="12"/>
  <c r="BC27" i="12"/>
  <c r="BC26" i="12"/>
  <c r="BC24" i="12"/>
  <c r="BC22" i="12"/>
  <c r="BC21" i="12"/>
  <c r="BC25" i="12"/>
  <c r="BC23" i="12"/>
  <c r="BC16" i="12"/>
  <c r="BD17" i="12"/>
  <c r="BE17" i="12" s="1"/>
  <c r="L17" i="12" s="1"/>
  <c r="AW47" i="12"/>
  <c r="AZ33" i="12"/>
  <c r="AZ35" i="12"/>
  <c r="AY47" i="12"/>
  <c r="AY49" i="12" s="1"/>
  <c r="BJ4" i="12"/>
  <c r="AX47" i="12"/>
  <c r="AX49" i="12" s="1"/>
  <c r="AZ36" i="12"/>
  <c r="L41" i="22" l="1"/>
  <c r="L40" i="22"/>
  <c r="L42" i="22"/>
  <c r="L16" i="22"/>
  <c r="M14" i="22"/>
  <c r="M6" i="22"/>
  <c r="M7" i="22"/>
  <c r="BD30" i="22"/>
  <c r="BE21" i="22"/>
  <c r="BJ8" i="21"/>
  <c r="BE37" i="21"/>
  <c r="BG18" i="21"/>
  <c r="L43" i="21"/>
  <c r="M39" i="21"/>
  <c r="M45" i="21"/>
  <c r="L34" i="21"/>
  <c r="L33" i="21" s="1"/>
  <c r="BI45" i="20"/>
  <c r="BH45" i="20"/>
  <c r="BG45" i="20"/>
  <c r="N4" i="20"/>
  <c r="BB43" i="20"/>
  <c r="BD43" i="20"/>
  <c r="BC43" i="20"/>
  <c r="BC34" i="20"/>
  <c r="BB34" i="20"/>
  <c r="L33" i="20"/>
  <c r="L36" i="20"/>
  <c r="L35" i="20"/>
  <c r="BD34" i="20"/>
  <c r="BI39" i="20"/>
  <c r="BH39" i="20"/>
  <c r="BG39" i="20"/>
  <c r="BG27" i="20"/>
  <c r="BG25" i="20"/>
  <c r="BG26" i="20"/>
  <c r="BG28" i="20"/>
  <c r="BG22" i="20"/>
  <c r="BG21" i="20"/>
  <c r="BG23" i="20"/>
  <c r="BG24" i="20"/>
  <c r="BG16" i="20"/>
  <c r="BH17" i="20"/>
  <c r="BH18" i="20" s="1"/>
  <c r="BE47" i="18"/>
  <c r="BB49" i="18"/>
  <c r="BG27" i="18"/>
  <c r="BG28" i="18"/>
  <c r="BG26" i="18"/>
  <c r="BG22" i="18"/>
  <c r="BG21" i="18"/>
  <c r="BG24" i="18"/>
  <c r="BG16" i="18"/>
  <c r="BG25" i="18"/>
  <c r="BG23" i="18"/>
  <c r="BH17" i="18"/>
  <c r="BH30" i="16"/>
  <c r="BI18" i="16"/>
  <c r="BE47" i="16"/>
  <c r="BB49" i="16"/>
  <c r="BG8" i="15"/>
  <c r="BG17" i="15" s="1"/>
  <c r="BH8" i="15"/>
  <c r="BJ14" i="15"/>
  <c r="BE42" i="15"/>
  <c r="BD40" i="15"/>
  <c r="BC40" i="15"/>
  <c r="BB40" i="15"/>
  <c r="BJ7" i="15"/>
  <c r="BJ6" i="15"/>
  <c r="BE37" i="15"/>
  <c r="L30" i="15"/>
  <c r="BD41" i="15"/>
  <c r="BC41" i="15"/>
  <c r="BB41" i="15"/>
  <c r="BC30" i="12"/>
  <c r="BD18" i="12"/>
  <c r="AZ47" i="12"/>
  <c r="K47" i="12" s="1"/>
  <c r="AW49" i="12"/>
  <c r="M8" i="22" l="1"/>
  <c r="BI8" i="22" s="1"/>
  <c r="BE30" i="22"/>
  <c r="BG6" i="22"/>
  <c r="BI6" i="22"/>
  <c r="BH6" i="22"/>
  <c r="BD40" i="22"/>
  <c r="BC40" i="22"/>
  <c r="BB40" i="22"/>
  <c r="BB42" i="22"/>
  <c r="BD42" i="22"/>
  <c r="BC42" i="22"/>
  <c r="BD41" i="22"/>
  <c r="BB41" i="22"/>
  <c r="BC41" i="22"/>
  <c r="BI14" i="22"/>
  <c r="BH14" i="22"/>
  <c r="BG14" i="22"/>
  <c r="L37" i="22"/>
  <c r="BI7" i="22"/>
  <c r="BH7" i="22"/>
  <c r="BG7" i="22"/>
  <c r="L35" i="21"/>
  <c r="BD34" i="21"/>
  <c r="BC34" i="21"/>
  <c r="BB34" i="21"/>
  <c r="L36" i="21"/>
  <c r="BC43" i="21"/>
  <c r="BD43" i="21"/>
  <c r="BB43" i="21"/>
  <c r="BH39" i="21"/>
  <c r="BI39" i="21"/>
  <c r="BG39" i="21"/>
  <c r="BG24" i="21"/>
  <c r="BG27" i="21"/>
  <c r="BG25" i="21"/>
  <c r="BG26" i="21"/>
  <c r="BG22" i="21"/>
  <c r="BG21" i="21"/>
  <c r="BG23" i="21"/>
  <c r="BG28" i="21"/>
  <c r="BG16" i="21"/>
  <c r="BH17" i="21"/>
  <c r="BH18" i="21" s="1"/>
  <c r="BH45" i="21"/>
  <c r="BI45" i="21"/>
  <c r="BG45" i="21"/>
  <c r="N4" i="21"/>
  <c r="BJ45" i="20"/>
  <c r="BD35" i="20"/>
  <c r="BC35" i="20"/>
  <c r="BB35" i="20"/>
  <c r="BG30" i="20"/>
  <c r="BD36" i="20"/>
  <c r="BC36" i="20"/>
  <c r="BB36" i="20"/>
  <c r="BH26" i="20"/>
  <c r="BH28" i="20"/>
  <c r="BH27" i="20"/>
  <c r="BH25" i="20"/>
  <c r="BH22" i="20"/>
  <c r="BH21" i="20"/>
  <c r="BH23" i="20"/>
  <c r="BH24" i="20"/>
  <c r="BH16" i="20"/>
  <c r="BI17" i="20"/>
  <c r="BI18" i="20" s="1"/>
  <c r="BE43" i="20"/>
  <c r="BD33" i="20"/>
  <c r="BC33" i="20"/>
  <c r="BB33" i="20"/>
  <c r="BN4" i="20"/>
  <c r="BM4" i="20"/>
  <c r="BL4" i="20"/>
  <c r="O4" i="20"/>
  <c r="BE34" i="20"/>
  <c r="BJ39" i="20"/>
  <c r="BH18" i="18"/>
  <c r="L47" i="18"/>
  <c r="BE49" i="18"/>
  <c r="L49" i="18" s="1"/>
  <c r="BG30" i="18"/>
  <c r="BE40" i="15"/>
  <c r="L47" i="16"/>
  <c r="BE49" i="16"/>
  <c r="L49" i="16" s="1"/>
  <c r="BI28" i="16"/>
  <c r="BJ28" i="16" s="1"/>
  <c r="BI27" i="16"/>
  <c r="BJ27" i="16" s="1"/>
  <c r="BI26" i="16"/>
  <c r="BJ26" i="16" s="1"/>
  <c r="BI24" i="16"/>
  <c r="BJ24" i="16" s="1"/>
  <c r="BI16" i="16"/>
  <c r="BJ16" i="16" s="1"/>
  <c r="BJ18" i="16"/>
  <c r="M18" i="16" s="1"/>
  <c r="BI25" i="16"/>
  <c r="BJ25" i="16" s="1"/>
  <c r="BI22" i="16"/>
  <c r="BJ22" i="16" s="1"/>
  <c r="BI21" i="16"/>
  <c r="BI23" i="16"/>
  <c r="BJ23" i="16" s="1"/>
  <c r="BJ8" i="15"/>
  <c r="BE41" i="15"/>
  <c r="L43" i="15"/>
  <c r="M45" i="15"/>
  <c r="M39" i="15"/>
  <c r="L34" i="15"/>
  <c r="BG18" i="15"/>
  <c r="BD25" i="12"/>
  <c r="BE25" i="12" s="1"/>
  <c r="BD26" i="12"/>
  <c r="BE26" i="12" s="1"/>
  <c r="BD28" i="12"/>
  <c r="BE28" i="12" s="1"/>
  <c r="BD22" i="12"/>
  <c r="BE22" i="12" s="1"/>
  <c r="BD21" i="12"/>
  <c r="BD23" i="12"/>
  <c r="BE23" i="12" s="1"/>
  <c r="BD24" i="12"/>
  <c r="BE24" i="12" s="1"/>
  <c r="BD16" i="12"/>
  <c r="BE16" i="12" s="1"/>
  <c r="BD27" i="12"/>
  <c r="BE27" i="12" s="1"/>
  <c r="BE18" i="12"/>
  <c r="L18" i="12" s="1"/>
  <c r="AZ49" i="12"/>
  <c r="K49" i="12" s="1"/>
  <c r="BJ7" i="22" l="1"/>
  <c r="BJ14" i="22"/>
  <c r="BG8" i="22"/>
  <c r="BH8" i="22"/>
  <c r="BE40" i="22"/>
  <c r="BJ6" i="22"/>
  <c r="L30" i="22"/>
  <c r="BB37" i="22"/>
  <c r="BD37" i="22"/>
  <c r="BC37" i="22"/>
  <c r="BE41" i="22"/>
  <c r="BE42" i="22"/>
  <c r="BE34" i="21"/>
  <c r="BJ39" i="21"/>
  <c r="BH24" i="21"/>
  <c r="BH28" i="21"/>
  <c r="BH26" i="21"/>
  <c r="BH22" i="21"/>
  <c r="BH21" i="21"/>
  <c r="BH23" i="21"/>
  <c r="BH16" i="21"/>
  <c r="BH27" i="21"/>
  <c r="BH25" i="21"/>
  <c r="BI17" i="21"/>
  <c r="BJ17" i="21" s="1"/>
  <c r="M17" i="21" s="1"/>
  <c r="BD36" i="21"/>
  <c r="BC36" i="21"/>
  <c r="BB36" i="21"/>
  <c r="BN4" i="21"/>
  <c r="BM4" i="21"/>
  <c r="BL4" i="21"/>
  <c r="O4" i="21"/>
  <c r="BD33" i="21"/>
  <c r="BC33" i="21"/>
  <c r="BB33" i="21"/>
  <c r="BJ45" i="21"/>
  <c r="BG30" i="21"/>
  <c r="BE43" i="21"/>
  <c r="BB35" i="21"/>
  <c r="BC35" i="21"/>
  <c r="BD35" i="21"/>
  <c r="BD47" i="20"/>
  <c r="BD49" i="20" s="1"/>
  <c r="BC47" i="20"/>
  <c r="BC49" i="20" s="1"/>
  <c r="BJ17" i="20"/>
  <c r="M17" i="20" s="1"/>
  <c r="BE35" i="20"/>
  <c r="BE36" i="20"/>
  <c r="BO4" i="20"/>
  <c r="BB47" i="20"/>
  <c r="BE33" i="20"/>
  <c r="BI26" i="20"/>
  <c r="BJ26" i="20" s="1"/>
  <c r="BI28" i="20"/>
  <c r="BJ28" i="20" s="1"/>
  <c r="BI24" i="20"/>
  <c r="BJ24" i="20" s="1"/>
  <c r="BI27" i="20"/>
  <c r="BJ27" i="20" s="1"/>
  <c r="BI25" i="20"/>
  <c r="BJ25" i="20" s="1"/>
  <c r="BI22" i="20"/>
  <c r="BJ22" i="20" s="1"/>
  <c r="BI21" i="20"/>
  <c r="BI23" i="20"/>
  <c r="BJ23" i="20" s="1"/>
  <c r="BI16" i="20"/>
  <c r="BJ16" i="20" s="1"/>
  <c r="BJ18" i="20"/>
  <c r="M18" i="20" s="1"/>
  <c r="BH30" i="20"/>
  <c r="BH27" i="18"/>
  <c r="BH23" i="18"/>
  <c r="BH24" i="18"/>
  <c r="BH25" i="18"/>
  <c r="BH28" i="18"/>
  <c r="BH26" i="18"/>
  <c r="BH22" i="18"/>
  <c r="BH21" i="18"/>
  <c r="BH16" i="18"/>
  <c r="BI17" i="18"/>
  <c r="BJ17" i="18" s="1"/>
  <c r="M17" i="18" s="1"/>
  <c r="M41" i="18"/>
  <c r="M40" i="18"/>
  <c r="BI30" i="16"/>
  <c r="BJ21" i="16"/>
  <c r="M42" i="16"/>
  <c r="N14" i="16"/>
  <c r="M16" i="16"/>
  <c r="N6" i="16"/>
  <c r="N7" i="16"/>
  <c r="M41" i="16"/>
  <c r="M40" i="16"/>
  <c r="L33" i="15"/>
  <c r="L36" i="15"/>
  <c r="L35" i="15"/>
  <c r="BD34" i="15"/>
  <c r="BC34" i="15"/>
  <c r="BB34" i="15"/>
  <c r="BH39" i="15"/>
  <c r="BG39" i="15"/>
  <c r="BI39" i="15"/>
  <c r="BI45" i="15"/>
  <c r="BH45" i="15"/>
  <c r="BG45" i="15"/>
  <c r="N4" i="15"/>
  <c r="BG26" i="15"/>
  <c r="BG28" i="15"/>
  <c r="BG27" i="15"/>
  <c r="BG25" i="15"/>
  <c r="BG16" i="15"/>
  <c r="BG22" i="15"/>
  <c r="BG23" i="15"/>
  <c r="BG21" i="15"/>
  <c r="BG24" i="15"/>
  <c r="BH17" i="15"/>
  <c r="BC43" i="15"/>
  <c r="BB43" i="15"/>
  <c r="BD43" i="15"/>
  <c r="L41" i="12"/>
  <c r="L40" i="12"/>
  <c r="L16" i="12"/>
  <c r="M14" i="12"/>
  <c r="M7" i="12"/>
  <c r="L42" i="12"/>
  <c r="M6" i="12"/>
  <c r="BD30" i="12"/>
  <c r="BE21" i="12"/>
  <c r="BJ8" i="22" l="1"/>
  <c r="BG17" i="22"/>
  <c r="L43" i="22"/>
  <c r="M39" i="22"/>
  <c r="M45" i="22"/>
  <c r="L34" i="22"/>
  <c r="BG18" i="22"/>
  <c r="BE37" i="22"/>
  <c r="BE36" i="21"/>
  <c r="BO4" i="21"/>
  <c r="BE33" i="21"/>
  <c r="BB47" i="21"/>
  <c r="BE35" i="21"/>
  <c r="BD47" i="21"/>
  <c r="BD49" i="21" s="1"/>
  <c r="BI18" i="21"/>
  <c r="BC47" i="21"/>
  <c r="BC49" i="21" s="1"/>
  <c r="BH30" i="21"/>
  <c r="BI30" i="20"/>
  <c r="BJ30" i="20" s="1"/>
  <c r="BE47" i="20"/>
  <c r="BB49" i="20"/>
  <c r="M42" i="20"/>
  <c r="M16" i="20"/>
  <c r="N14" i="20"/>
  <c r="N6" i="20"/>
  <c r="N7" i="20"/>
  <c r="BJ21" i="20"/>
  <c r="BG41" i="18"/>
  <c r="BI41" i="18"/>
  <c r="BH41" i="18"/>
  <c r="BI18" i="18"/>
  <c r="BI40" i="18"/>
  <c r="BG40" i="18"/>
  <c r="BH40" i="18"/>
  <c r="BH30" i="18"/>
  <c r="BE34" i="15"/>
  <c r="N8" i="16"/>
  <c r="BN8" i="16" s="1"/>
  <c r="BJ30" i="16"/>
  <c r="M37" i="16"/>
  <c r="BN6" i="16"/>
  <c r="BM6" i="16"/>
  <c r="BL6" i="16"/>
  <c r="O6" i="16"/>
  <c r="BN14" i="16"/>
  <c r="BM14" i="16"/>
  <c r="BL14" i="16"/>
  <c r="O14" i="16"/>
  <c r="BI40" i="16"/>
  <c r="BG40" i="16"/>
  <c r="BH40" i="16"/>
  <c r="BI42" i="16"/>
  <c r="BH42" i="16"/>
  <c r="BG42" i="16"/>
  <c r="BL7" i="16"/>
  <c r="BN7" i="16"/>
  <c r="BM7" i="16"/>
  <c r="O7" i="16"/>
  <c r="BG41" i="16"/>
  <c r="BI41" i="16"/>
  <c r="BH41" i="16"/>
  <c r="BJ39" i="15"/>
  <c r="BN4" i="15"/>
  <c r="BM4" i="15"/>
  <c r="BL4" i="15"/>
  <c r="O4" i="15"/>
  <c r="BJ45" i="15"/>
  <c r="BD35" i="15"/>
  <c r="BC35" i="15"/>
  <c r="BB35" i="15"/>
  <c r="BH18" i="15"/>
  <c r="BG30" i="15"/>
  <c r="BE43" i="15"/>
  <c r="BD36" i="15"/>
  <c r="BC36" i="15"/>
  <c r="BB36" i="15"/>
  <c r="BB33" i="15"/>
  <c r="BD33" i="15"/>
  <c r="BC33" i="15"/>
  <c r="M8" i="12"/>
  <c r="L37" i="12"/>
  <c r="BD40" i="12"/>
  <c r="BC40" i="12"/>
  <c r="BB40" i="12"/>
  <c r="BH7" i="12"/>
  <c r="BG7" i="12"/>
  <c r="BI7" i="12"/>
  <c r="BH6" i="12"/>
  <c r="BG6" i="12"/>
  <c r="BI6" i="12"/>
  <c r="BG14" i="12"/>
  <c r="BH14" i="12"/>
  <c r="BI14" i="12"/>
  <c r="BE30" i="12"/>
  <c r="L30" i="12" s="1"/>
  <c r="BC41" i="12"/>
  <c r="BB41" i="12"/>
  <c r="BD41" i="12"/>
  <c r="BC42" i="12"/>
  <c r="BD42" i="12"/>
  <c r="BB42" i="12"/>
  <c r="BG28" i="22" l="1"/>
  <c r="BG27" i="22"/>
  <c r="BG26" i="22"/>
  <c r="BG25" i="22"/>
  <c r="BG22" i="22"/>
  <c r="BG21" i="22"/>
  <c r="BG23" i="22"/>
  <c r="BG24" i="22"/>
  <c r="BG16" i="22"/>
  <c r="BH17" i="22"/>
  <c r="BI45" i="22"/>
  <c r="BG45" i="22"/>
  <c r="BH45" i="22"/>
  <c r="N4" i="22"/>
  <c r="BI39" i="22"/>
  <c r="BH39" i="22"/>
  <c r="BG39" i="22"/>
  <c r="BC34" i="22"/>
  <c r="L33" i="22"/>
  <c r="BB34" i="22"/>
  <c r="L36" i="22"/>
  <c r="BD34" i="22"/>
  <c r="L35" i="22"/>
  <c r="BD43" i="22"/>
  <c r="BC43" i="22"/>
  <c r="BB43" i="22"/>
  <c r="BE47" i="21"/>
  <c r="BB49" i="21"/>
  <c r="BI28" i="21"/>
  <c r="BJ28" i="21" s="1"/>
  <c r="BI27" i="21"/>
  <c r="BJ27" i="21" s="1"/>
  <c r="BI25" i="21"/>
  <c r="BJ25" i="21" s="1"/>
  <c r="BI26" i="21"/>
  <c r="BJ26" i="21" s="1"/>
  <c r="BI22" i="21"/>
  <c r="BJ22" i="21" s="1"/>
  <c r="BI21" i="21"/>
  <c r="BI23" i="21"/>
  <c r="BJ23" i="21" s="1"/>
  <c r="BI24" i="21"/>
  <c r="BJ24" i="21" s="1"/>
  <c r="BJ18" i="21"/>
  <c r="M18" i="21" s="1"/>
  <c r="BI16" i="21"/>
  <c r="BJ16" i="21" s="1"/>
  <c r="BM7" i="20"/>
  <c r="BL7" i="20"/>
  <c r="BN7" i="20"/>
  <c r="O7" i="20"/>
  <c r="BN6" i="20"/>
  <c r="BM6" i="20"/>
  <c r="BL6" i="20"/>
  <c r="O6" i="20"/>
  <c r="N8" i="20"/>
  <c r="L47" i="20"/>
  <c r="BE49" i="20"/>
  <c r="L49" i="20" s="1"/>
  <c r="M37" i="20"/>
  <c r="BL14" i="20"/>
  <c r="BN14" i="20"/>
  <c r="BM14" i="20"/>
  <c r="O14" i="20"/>
  <c r="M30" i="20"/>
  <c r="BI42" i="20"/>
  <c r="BH42" i="20"/>
  <c r="BG42" i="20"/>
  <c r="BJ40" i="18"/>
  <c r="BJ41" i="18"/>
  <c r="BI28" i="18"/>
  <c r="BJ28" i="18" s="1"/>
  <c r="BI27" i="18"/>
  <c r="BJ27" i="18" s="1"/>
  <c r="BI23" i="18"/>
  <c r="BJ23" i="18" s="1"/>
  <c r="BI25" i="18"/>
  <c r="BJ25" i="18" s="1"/>
  <c r="BJ18" i="18"/>
  <c r="M18" i="18" s="1"/>
  <c r="BI21" i="18"/>
  <c r="BI26" i="18"/>
  <c r="BJ26" i="18" s="1"/>
  <c r="BI24" i="18"/>
  <c r="BJ24" i="18" s="1"/>
  <c r="BI22" i="18"/>
  <c r="BJ22" i="18" s="1"/>
  <c r="BI16" i="18"/>
  <c r="BJ16" i="18" s="1"/>
  <c r="BJ42" i="16"/>
  <c r="BL8" i="16"/>
  <c r="O8" i="16"/>
  <c r="BM8" i="16"/>
  <c r="BO8" i="16" s="1"/>
  <c r="BO14" i="16"/>
  <c r="BO6" i="16"/>
  <c r="BO7" i="16"/>
  <c r="M30" i="16"/>
  <c r="BJ41" i="16"/>
  <c r="BL17" i="16"/>
  <c r="BJ40" i="16"/>
  <c r="BI37" i="16"/>
  <c r="BG37" i="16"/>
  <c r="BH37" i="16"/>
  <c r="BE36" i="15"/>
  <c r="BO4" i="15"/>
  <c r="BC47" i="15"/>
  <c r="BC49" i="15" s="1"/>
  <c r="BD47" i="15"/>
  <c r="BD49" i="15" s="1"/>
  <c r="BH28" i="15"/>
  <c r="BH27" i="15"/>
  <c r="BH26" i="15"/>
  <c r="BH22" i="15"/>
  <c r="BH23" i="15"/>
  <c r="BH21" i="15"/>
  <c r="BH24" i="15"/>
  <c r="BH25" i="15"/>
  <c r="BH16" i="15"/>
  <c r="BI17" i="15"/>
  <c r="BJ17" i="15" s="1"/>
  <c r="M17" i="15" s="1"/>
  <c r="BE35" i="15"/>
  <c r="BB47" i="15"/>
  <c r="BE33" i="15"/>
  <c r="L34" i="12"/>
  <c r="M39" i="12"/>
  <c r="M45" i="12"/>
  <c r="N4" i="12" s="1"/>
  <c r="O4" i="12" s="1"/>
  <c r="L43" i="12"/>
  <c r="BE40" i="12"/>
  <c r="BJ14" i="12"/>
  <c r="BE41" i="12"/>
  <c r="BC37" i="12"/>
  <c r="BD37" i="12"/>
  <c r="BB37" i="12"/>
  <c r="BJ7" i="12"/>
  <c r="BI8" i="12"/>
  <c r="BH8" i="12"/>
  <c r="BG8" i="12"/>
  <c r="BE42" i="12"/>
  <c r="BJ6" i="12"/>
  <c r="BE43" i="22" l="1"/>
  <c r="BC35" i="22"/>
  <c r="BD35" i="22"/>
  <c r="BB35" i="22"/>
  <c r="BD36" i="22"/>
  <c r="BC36" i="22"/>
  <c r="BB36" i="22"/>
  <c r="BJ45" i="22"/>
  <c r="BG30" i="22"/>
  <c r="BE34" i="22"/>
  <c r="BJ39" i="22"/>
  <c r="BN4" i="22"/>
  <c r="BM4" i="22"/>
  <c r="BL4" i="22"/>
  <c r="O4" i="22"/>
  <c r="BD33" i="22"/>
  <c r="BB33" i="22"/>
  <c r="BC33" i="22"/>
  <c r="BH18" i="22"/>
  <c r="M42" i="21"/>
  <c r="M16" i="21"/>
  <c r="N14" i="21"/>
  <c r="N6" i="21"/>
  <c r="N7" i="21"/>
  <c r="L47" i="21"/>
  <c r="BE49" i="21"/>
  <c r="L49" i="21" s="1"/>
  <c r="BI30" i="21"/>
  <c r="BJ21" i="21"/>
  <c r="BJ42" i="20"/>
  <c r="BO6" i="20"/>
  <c r="BI37" i="20"/>
  <c r="BH37" i="20"/>
  <c r="BG37" i="20"/>
  <c r="M43" i="20"/>
  <c r="N39" i="20"/>
  <c r="N45" i="20"/>
  <c r="M41" i="20"/>
  <c r="M40" i="20"/>
  <c r="BO7" i="20"/>
  <c r="BO14" i="20"/>
  <c r="BN8" i="20"/>
  <c r="BM8" i="20"/>
  <c r="BL8" i="20"/>
  <c r="O8" i="20"/>
  <c r="M42" i="18"/>
  <c r="M16" i="18"/>
  <c r="N14" i="18"/>
  <c r="N7" i="18"/>
  <c r="N6" i="18"/>
  <c r="BI30" i="18"/>
  <c r="BJ21" i="18"/>
  <c r="BL18" i="16"/>
  <c r="M43" i="16"/>
  <c r="N45" i="16"/>
  <c r="N39" i="16"/>
  <c r="M34" i="16"/>
  <c r="BJ37" i="16"/>
  <c r="BI18" i="15"/>
  <c r="BI27" i="15" s="1"/>
  <c r="BJ27" i="15" s="1"/>
  <c r="BH30" i="15"/>
  <c r="BE47" i="15"/>
  <c r="BB49" i="15"/>
  <c r="L33" i="12"/>
  <c r="L36" i="12"/>
  <c r="L35" i="12"/>
  <c r="BE37" i="12"/>
  <c r="BG17" i="12"/>
  <c r="BJ8" i="12"/>
  <c r="BE36" i="22" l="1"/>
  <c r="BE35" i="22"/>
  <c r="BO4" i="22"/>
  <c r="BH28" i="22"/>
  <c r="BH27" i="22"/>
  <c r="BH23" i="22"/>
  <c r="BH24" i="22"/>
  <c r="BH21" i="22"/>
  <c r="BH25" i="22"/>
  <c r="BH16" i="22"/>
  <c r="BH26" i="22"/>
  <c r="BH22" i="22"/>
  <c r="BI17" i="22"/>
  <c r="BJ17" i="22" s="1"/>
  <c r="M17" i="22" s="1"/>
  <c r="BC47" i="22"/>
  <c r="BC49" i="22" s="1"/>
  <c r="BB47" i="22"/>
  <c r="BE33" i="22"/>
  <c r="BD47" i="22"/>
  <c r="BD49" i="22" s="1"/>
  <c r="N8" i="21"/>
  <c r="BN8" i="21" s="1"/>
  <c r="M37" i="21"/>
  <c r="BJ30" i="21"/>
  <c r="BM7" i="21"/>
  <c r="BL7" i="21"/>
  <c r="BN7" i="21"/>
  <c r="O7" i="21"/>
  <c r="BL14" i="21"/>
  <c r="BM14" i="21"/>
  <c r="BN14" i="21"/>
  <c r="O14" i="21"/>
  <c r="BN6" i="21"/>
  <c r="BM6" i="21"/>
  <c r="BL6" i="21"/>
  <c r="O6" i="21"/>
  <c r="M41" i="21"/>
  <c r="M40" i="21"/>
  <c r="BH42" i="21"/>
  <c r="BI42" i="21"/>
  <c r="BG42" i="21"/>
  <c r="BJ37" i="20"/>
  <c r="M33" i="20"/>
  <c r="BI34" i="20"/>
  <c r="M36" i="20"/>
  <c r="BH34" i="20"/>
  <c r="BG34" i="20"/>
  <c r="M35" i="20"/>
  <c r="BI43" i="20"/>
  <c r="BH43" i="20"/>
  <c r="BG43" i="20"/>
  <c r="BI40" i="20"/>
  <c r="BH40" i="20"/>
  <c r="BG40" i="20"/>
  <c r="BN39" i="20"/>
  <c r="BM39" i="20"/>
  <c r="BL39" i="20"/>
  <c r="BG41" i="20"/>
  <c r="BI41" i="20"/>
  <c r="BH41" i="20"/>
  <c r="BL45" i="20"/>
  <c r="BN45" i="20"/>
  <c r="BM45" i="20"/>
  <c r="P4" i="20"/>
  <c r="BL17" i="20"/>
  <c r="BO8" i="20"/>
  <c r="BM6" i="18"/>
  <c r="BN6" i="18"/>
  <c r="BL6" i="18"/>
  <c r="O6" i="18"/>
  <c r="M37" i="18"/>
  <c r="BI42" i="18"/>
  <c r="BH42" i="18"/>
  <c r="BG42" i="18"/>
  <c r="N8" i="18"/>
  <c r="BL7" i="18"/>
  <c r="BM7" i="18"/>
  <c r="BN7" i="18"/>
  <c r="O7" i="18"/>
  <c r="BN14" i="18"/>
  <c r="BL14" i="18"/>
  <c r="BM14" i="18"/>
  <c r="O14" i="18"/>
  <c r="BJ30" i="18"/>
  <c r="M33" i="16"/>
  <c r="BI34" i="16"/>
  <c r="M36" i="16"/>
  <c r="BH34" i="16"/>
  <c r="BG34" i="16"/>
  <c r="M35" i="16"/>
  <c r="BL45" i="16"/>
  <c r="BN45" i="16"/>
  <c r="BM45" i="16"/>
  <c r="P4" i="16"/>
  <c r="BI43" i="16"/>
  <c r="BH43" i="16"/>
  <c r="BG43" i="16"/>
  <c r="BM39" i="16"/>
  <c r="BL39" i="16"/>
  <c r="BN39" i="16"/>
  <c r="BL28" i="16"/>
  <c r="BL27" i="16"/>
  <c r="BL26" i="16"/>
  <c r="BL25" i="16"/>
  <c r="BL22" i="16"/>
  <c r="BL21" i="16"/>
  <c r="BL23" i="16"/>
  <c r="BL24" i="16"/>
  <c r="BL16" i="16"/>
  <c r="BM17" i="16"/>
  <c r="BI25" i="15"/>
  <c r="BJ25" i="15" s="1"/>
  <c r="BI28" i="15"/>
  <c r="BJ28" i="15" s="1"/>
  <c r="BI24" i="15"/>
  <c r="BJ24" i="15" s="1"/>
  <c r="BJ18" i="15"/>
  <c r="M18" i="15" s="1"/>
  <c r="N7" i="15" s="1"/>
  <c r="BI21" i="15"/>
  <c r="BJ21" i="15" s="1"/>
  <c r="BI23" i="15"/>
  <c r="BJ23" i="15" s="1"/>
  <c r="BI26" i="15"/>
  <c r="BJ26" i="15" s="1"/>
  <c r="BI22" i="15"/>
  <c r="BJ22" i="15" s="1"/>
  <c r="BI16" i="15"/>
  <c r="BJ16" i="15" s="1"/>
  <c r="L47" i="15"/>
  <c r="BE49" i="15"/>
  <c r="L49" i="15" s="1"/>
  <c r="BG18" i="12"/>
  <c r="BB43" i="12"/>
  <c r="BC43" i="12"/>
  <c r="BD43" i="12"/>
  <c r="BG39" i="12"/>
  <c r="BI39" i="12"/>
  <c r="BH39" i="12"/>
  <c r="BB34" i="12"/>
  <c r="BD34" i="12"/>
  <c r="BC34" i="12"/>
  <c r="BI45" i="12"/>
  <c r="BH45" i="12"/>
  <c r="BG45" i="12"/>
  <c r="BH30" i="22" l="1"/>
  <c r="BI18" i="22"/>
  <c r="BE47" i="22"/>
  <c r="BB49" i="22"/>
  <c r="BJ42" i="21"/>
  <c r="O8" i="21"/>
  <c r="BM8" i="21"/>
  <c r="BL8" i="21"/>
  <c r="BL17" i="21" s="1"/>
  <c r="BO6" i="21"/>
  <c r="BI37" i="21"/>
  <c r="BG37" i="21"/>
  <c r="BH37" i="21"/>
  <c r="BO14" i="21"/>
  <c r="BO7" i="21"/>
  <c r="BG40" i="21"/>
  <c r="BI40" i="21"/>
  <c r="BH40" i="21"/>
  <c r="BI41" i="21"/>
  <c r="BG41" i="21"/>
  <c r="BH41" i="21"/>
  <c r="M30" i="21"/>
  <c r="BO39" i="20"/>
  <c r="O39" i="20" s="1"/>
  <c r="BJ40" i="20"/>
  <c r="BJ34" i="20"/>
  <c r="BG36" i="20"/>
  <c r="BI36" i="20"/>
  <c r="BH36" i="20"/>
  <c r="BI35" i="20"/>
  <c r="BH35" i="20"/>
  <c r="BG35" i="20"/>
  <c r="BO45" i="20"/>
  <c r="O45" i="20" s="1"/>
  <c r="BT4" i="20"/>
  <c r="BS4" i="20"/>
  <c r="BR4" i="20"/>
  <c r="BJ41" i="20"/>
  <c r="BJ43" i="20"/>
  <c r="BI33" i="20"/>
  <c r="BH33" i="20"/>
  <c r="BG33" i="20"/>
  <c r="BL18" i="20"/>
  <c r="BO6" i="18"/>
  <c r="BO14" i="18"/>
  <c r="BI37" i="18"/>
  <c r="BH37" i="18"/>
  <c r="BG37" i="18"/>
  <c r="M30" i="18"/>
  <c r="BO7" i="18"/>
  <c r="BN8" i="18"/>
  <c r="BM8" i="18"/>
  <c r="BL8" i="18"/>
  <c r="O8" i="18"/>
  <c r="BJ42" i="18"/>
  <c r="BJ43" i="16"/>
  <c r="BJ34" i="16"/>
  <c r="BO39" i="16"/>
  <c r="O39" i="16" s="1"/>
  <c r="BL30" i="16"/>
  <c r="BI35" i="16"/>
  <c r="BH35" i="16"/>
  <c r="BG35" i="16"/>
  <c r="BI36" i="16"/>
  <c r="BH36" i="16"/>
  <c r="BG36" i="16"/>
  <c r="BS4" i="16"/>
  <c r="BR4" i="16"/>
  <c r="BT4" i="16"/>
  <c r="BO45" i="16"/>
  <c r="O45" i="16" s="1"/>
  <c r="BM18" i="16"/>
  <c r="BI33" i="16"/>
  <c r="BH33" i="16"/>
  <c r="BG33" i="16"/>
  <c r="M42" i="15"/>
  <c r="BI42" i="15" s="1"/>
  <c r="N6" i="15"/>
  <c r="BL6" i="15" s="1"/>
  <c r="M16" i="15"/>
  <c r="N14" i="15"/>
  <c r="O14" i="15" s="1"/>
  <c r="C4" i="14" s="1"/>
  <c r="BI30" i="15"/>
  <c r="BJ30" i="15" s="1"/>
  <c r="M30" i="15" s="1"/>
  <c r="M37" i="15"/>
  <c r="BM6" i="15"/>
  <c r="O6" i="15"/>
  <c r="BN7" i="15"/>
  <c r="BM7" i="15"/>
  <c r="BL7" i="15"/>
  <c r="O7" i="15"/>
  <c r="M41" i="15"/>
  <c r="M40" i="15"/>
  <c r="N8" i="15"/>
  <c r="BJ39" i="12"/>
  <c r="BD35" i="12"/>
  <c r="BC35" i="12"/>
  <c r="BB35" i="12"/>
  <c r="BC33" i="12"/>
  <c r="BB33" i="12"/>
  <c r="BD33" i="12"/>
  <c r="BE43" i="12"/>
  <c r="BN4" i="12"/>
  <c r="BL4" i="12"/>
  <c r="BM4" i="12"/>
  <c r="BJ45" i="12"/>
  <c r="BB36" i="12"/>
  <c r="BD36" i="12"/>
  <c r="BC36" i="12"/>
  <c r="BG26" i="12"/>
  <c r="BG28" i="12"/>
  <c r="BG27" i="12"/>
  <c r="BG23" i="12"/>
  <c r="BG24" i="12"/>
  <c r="BG25" i="12"/>
  <c r="BG22" i="12"/>
  <c r="BG21" i="12"/>
  <c r="BG16" i="12"/>
  <c r="BH17" i="12"/>
  <c r="BH18" i="12" s="1"/>
  <c r="BE34" i="12"/>
  <c r="BI27" i="22" l="1"/>
  <c r="BJ27" i="22" s="1"/>
  <c r="BI26" i="22"/>
  <c r="BJ26" i="22" s="1"/>
  <c r="BI22" i="22"/>
  <c r="BJ22" i="22" s="1"/>
  <c r="BI21" i="22"/>
  <c r="BI23" i="22"/>
  <c r="BJ23" i="22" s="1"/>
  <c r="BI24" i="22"/>
  <c r="BJ24" i="22" s="1"/>
  <c r="BI25" i="22"/>
  <c r="BJ25" i="22" s="1"/>
  <c r="BI16" i="22"/>
  <c r="BJ16" i="22" s="1"/>
  <c r="BJ18" i="22"/>
  <c r="M18" i="22" s="1"/>
  <c r="BI28" i="22"/>
  <c r="BJ28" i="22" s="1"/>
  <c r="L47" i="22"/>
  <c r="BE49" i="22"/>
  <c r="L49" i="22" s="1"/>
  <c r="BO8" i="21"/>
  <c r="BJ41" i="21"/>
  <c r="BL18" i="21"/>
  <c r="BJ37" i="21"/>
  <c r="M43" i="21"/>
  <c r="N45" i="21"/>
  <c r="N39" i="21"/>
  <c r="M34" i="21"/>
  <c r="M33" i="21" s="1"/>
  <c r="BJ40" i="21"/>
  <c r="BJ35" i="20"/>
  <c r="BI47" i="20"/>
  <c r="BI49" i="20" s="1"/>
  <c r="BH47" i="20"/>
  <c r="BH49" i="20" s="1"/>
  <c r="BU4" i="20"/>
  <c r="BL28" i="20"/>
  <c r="BL24" i="20"/>
  <c r="BL27" i="20"/>
  <c r="BL25" i="20"/>
  <c r="BL26" i="20"/>
  <c r="BL23" i="20"/>
  <c r="BL16" i="20"/>
  <c r="BL22" i="20"/>
  <c r="BL21" i="20"/>
  <c r="BM17" i="20"/>
  <c r="BJ36" i="20"/>
  <c r="BG47" i="20"/>
  <c r="BJ33" i="20"/>
  <c r="BJ37" i="18"/>
  <c r="M43" i="18"/>
  <c r="N45" i="18"/>
  <c r="N39" i="18"/>
  <c r="M34" i="18"/>
  <c r="BL17" i="18"/>
  <c r="BO8" i="18"/>
  <c r="BJ36" i="16"/>
  <c r="BG42" i="15"/>
  <c r="BH42" i="15"/>
  <c r="BM28" i="16"/>
  <c r="BM27" i="16"/>
  <c r="BM26" i="16"/>
  <c r="BM25" i="16"/>
  <c r="BM22" i="16"/>
  <c r="BM21" i="16"/>
  <c r="BM23" i="16"/>
  <c r="BM24" i="16"/>
  <c r="BM16" i="16"/>
  <c r="BN17" i="16"/>
  <c r="BO17" i="16" s="1"/>
  <c r="N17" i="16" s="1"/>
  <c r="BG47" i="16"/>
  <c r="BJ33" i="16"/>
  <c r="BH47" i="16"/>
  <c r="BH49" i="16" s="1"/>
  <c r="BI47" i="16"/>
  <c r="BI49" i="16" s="1"/>
  <c r="BU4" i="16"/>
  <c r="BJ35" i="16"/>
  <c r="BN6" i="15"/>
  <c r="BO6" i="15" s="1"/>
  <c r="BM14" i="15"/>
  <c r="BN14" i="15"/>
  <c r="BL14" i="15"/>
  <c r="BG37" i="15"/>
  <c r="BH37" i="15"/>
  <c r="BI37" i="15"/>
  <c r="BI40" i="15"/>
  <c r="BG40" i="15"/>
  <c r="BH40" i="15"/>
  <c r="BG41" i="15"/>
  <c r="BI41" i="15"/>
  <c r="BH41" i="15"/>
  <c r="M43" i="15"/>
  <c r="N45" i="15"/>
  <c r="N39" i="15"/>
  <c r="M34" i="15"/>
  <c r="BO7" i="15"/>
  <c r="BM8" i="15"/>
  <c r="BL8" i="15"/>
  <c r="BN8" i="15"/>
  <c r="O8" i="15"/>
  <c r="C3" i="14" s="1"/>
  <c r="BE35" i="12"/>
  <c r="BD47" i="12"/>
  <c r="BD49" i="12" s="1"/>
  <c r="BH28" i="12"/>
  <c r="BH26" i="12"/>
  <c r="BH27" i="12"/>
  <c r="BH22" i="12"/>
  <c r="BH21" i="12"/>
  <c r="BH24" i="12"/>
  <c r="BH16" i="12"/>
  <c r="BH25" i="12"/>
  <c r="BH23" i="12"/>
  <c r="BI17" i="12"/>
  <c r="BJ17" i="12" s="1"/>
  <c r="M17" i="12" s="1"/>
  <c r="BG30" i="12"/>
  <c r="BE36" i="12"/>
  <c r="BB47" i="12"/>
  <c r="BE33" i="12"/>
  <c r="BC47" i="12"/>
  <c r="BC49" i="12" s="1"/>
  <c r="BO4" i="12"/>
  <c r="BI30" i="22" l="1"/>
  <c r="BJ21" i="22"/>
  <c r="M40" i="22"/>
  <c r="M41" i="22"/>
  <c r="M42" i="22"/>
  <c r="M16" i="22"/>
  <c r="N14" i="22"/>
  <c r="N6" i="22"/>
  <c r="N7" i="22"/>
  <c r="BM39" i="21"/>
  <c r="BL39" i="21"/>
  <c r="BN39" i="21"/>
  <c r="BH43" i="21"/>
  <c r="BI43" i="21"/>
  <c r="BG43" i="21"/>
  <c r="BM45" i="21"/>
  <c r="BN45" i="21"/>
  <c r="BL45" i="21"/>
  <c r="P4" i="21"/>
  <c r="BL26" i="21"/>
  <c r="BL22" i="21"/>
  <c r="BL21" i="21"/>
  <c r="BL23" i="21"/>
  <c r="BL24" i="21"/>
  <c r="BL28" i="21"/>
  <c r="BL27" i="21"/>
  <c r="BL25" i="21"/>
  <c r="BL16" i="21"/>
  <c r="BM17" i="21"/>
  <c r="BM18" i="21" s="1"/>
  <c r="BI34" i="21"/>
  <c r="M36" i="21"/>
  <c r="BH34" i="21"/>
  <c r="M35" i="21"/>
  <c r="BG34" i="21"/>
  <c r="BJ47" i="20"/>
  <c r="BG49" i="20"/>
  <c r="BL30" i="20"/>
  <c r="BM18" i="20"/>
  <c r="BM39" i="18"/>
  <c r="BL39" i="18"/>
  <c r="BN39" i="18"/>
  <c r="BI43" i="18"/>
  <c r="BH43" i="18"/>
  <c r="BG43" i="18"/>
  <c r="BJ43" i="18" s="1"/>
  <c r="M33" i="18"/>
  <c r="BI34" i="18"/>
  <c r="M36" i="18"/>
  <c r="BH34" i="18"/>
  <c r="M35" i="18"/>
  <c r="BG34" i="18"/>
  <c r="BL45" i="18"/>
  <c r="BN45" i="18"/>
  <c r="BM45" i="18"/>
  <c r="P4" i="18"/>
  <c r="BL18" i="18"/>
  <c r="BN18" i="16"/>
  <c r="BJ42" i="15"/>
  <c r="BM30" i="16"/>
  <c r="BN27" i="16"/>
  <c r="BO27" i="16" s="1"/>
  <c r="O27" i="16" s="1"/>
  <c r="BN25" i="16"/>
  <c r="BO25" i="16" s="1"/>
  <c r="O25" i="16" s="1"/>
  <c r="BN26" i="16"/>
  <c r="BO26" i="16" s="1"/>
  <c r="O26" i="16" s="1"/>
  <c r="BN28" i="16"/>
  <c r="BO28" i="16" s="1"/>
  <c r="O28" i="16" s="1"/>
  <c r="BN22" i="16"/>
  <c r="BO22" i="16" s="1"/>
  <c r="O22" i="16" s="1"/>
  <c r="BN21" i="16"/>
  <c r="BO21" i="16" s="1"/>
  <c r="BN23" i="16"/>
  <c r="BO23" i="16" s="1"/>
  <c r="O23" i="16" s="1"/>
  <c r="BN24" i="16"/>
  <c r="BO24" i="16" s="1"/>
  <c r="O24" i="16" s="1"/>
  <c r="BN16" i="16"/>
  <c r="BO16" i="16" s="1"/>
  <c r="O18" i="16"/>
  <c r="BO18" i="16"/>
  <c r="BJ47" i="16"/>
  <c r="BG49" i="16"/>
  <c r="BO14" i="15"/>
  <c r="BJ41" i="15"/>
  <c r="BJ37" i="15"/>
  <c r="M33" i="15"/>
  <c r="BI34" i="15"/>
  <c r="M36" i="15"/>
  <c r="BH34" i="15"/>
  <c r="BG34" i="15"/>
  <c r="M35" i="15"/>
  <c r="BN39" i="15"/>
  <c r="BM39" i="15"/>
  <c r="BL39" i="15"/>
  <c r="BJ40" i="15"/>
  <c r="BL45" i="15"/>
  <c r="BN45" i="15"/>
  <c r="BM45" i="15"/>
  <c r="P4" i="15"/>
  <c r="BI43" i="15"/>
  <c r="BH43" i="15"/>
  <c r="BG43" i="15"/>
  <c r="BL17" i="15"/>
  <c r="BO8" i="15"/>
  <c r="BI18" i="12"/>
  <c r="BH30" i="12"/>
  <c r="BE47" i="12"/>
  <c r="L47" i="12" s="1"/>
  <c r="BB49" i="12"/>
  <c r="BH40" i="22" l="1"/>
  <c r="BG40" i="22"/>
  <c r="BI40" i="22"/>
  <c r="BN7" i="22"/>
  <c r="BM7" i="22"/>
  <c r="BL7" i="22"/>
  <c r="O7" i="22"/>
  <c r="BN6" i="22"/>
  <c r="BM6" i="22"/>
  <c r="BL6" i="22"/>
  <c r="O6" i="22"/>
  <c r="BL14" i="22"/>
  <c r="BN14" i="22"/>
  <c r="BM14" i="22"/>
  <c r="O14" i="22"/>
  <c r="M37" i="22"/>
  <c r="BJ30" i="22"/>
  <c r="N8" i="22"/>
  <c r="BH42" i="22"/>
  <c r="BG42" i="22"/>
  <c r="BI42" i="22"/>
  <c r="BI41" i="22"/>
  <c r="BH41" i="22"/>
  <c r="BG41" i="22"/>
  <c r="BJ43" i="21"/>
  <c r="BM26" i="21"/>
  <c r="BM22" i="21"/>
  <c r="BM21" i="21"/>
  <c r="BM24" i="21"/>
  <c r="BM23" i="21"/>
  <c r="BM25" i="21"/>
  <c r="BM16" i="21"/>
  <c r="BM28" i="21"/>
  <c r="BM27" i="21"/>
  <c r="BN17" i="21"/>
  <c r="BO17" i="21" s="1"/>
  <c r="N17" i="21" s="1"/>
  <c r="BJ34" i="21"/>
  <c r="BH35" i="21"/>
  <c r="BG35" i="21"/>
  <c r="BI35" i="21"/>
  <c r="BI33" i="21"/>
  <c r="BH33" i="21"/>
  <c r="BG33" i="21"/>
  <c r="BT4" i="21"/>
  <c r="BS4" i="21"/>
  <c r="BR4" i="21"/>
  <c r="BO39" i="21"/>
  <c r="O39" i="21" s="1"/>
  <c r="BL30" i="21"/>
  <c r="BH36" i="21"/>
  <c r="BG36" i="21"/>
  <c r="BI36" i="21"/>
  <c r="BO45" i="21"/>
  <c r="O45" i="21" s="1"/>
  <c r="BM28" i="20"/>
  <c r="BM24" i="20"/>
  <c r="BM27" i="20"/>
  <c r="BM25" i="20"/>
  <c r="BM26" i="20"/>
  <c r="BM16" i="20"/>
  <c r="BM22" i="20"/>
  <c r="BM21" i="20"/>
  <c r="BM23" i="20"/>
  <c r="BN17" i="20"/>
  <c r="BO17" i="20" s="1"/>
  <c r="N17" i="20" s="1"/>
  <c r="M47" i="20"/>
  <c r="BJ49" i="20"/>
  <c r="M49" i="20" s="1"/>
  <c r="BI33" i="18"/>
  <c r="BG33" i="18"/>
  <c r="BH33" i="18"/>
  <c r="BR4" i="18"/>
  <c r="BT4" i="18"/>
  <c r="BS4" i="18"/>
  <c r="BH35" i="18"/>
  <c r="BG35" i="18"/>
  <c r="BI35" i="18"/>
  <c r="BJ34" i="18"/>
  <c r="BL28" i="18"/>
  <c r="BL27" i="18"/>
  <c r="BL24" i="18"/>
  <c r="BL16" i="18"/>
  <c r="BL26" i="18"/>
  <c r="BL22" i="18"/>
  <c r="BL21" i="18"/>
  <c r="BL25" i="18"/>
  <c r="BL23" i="18"/>
  <c r="BM17" i="18"/>
  <c r="BO39" i="18"/>
  <c r="O39" i="18" s="1"/>
  <c r="BO45" i="18"/>
  <c r="O45" i="18" s="1"/>
  <c r="BH36" i="18"/>
  <c r="BG36" i="18"/>
  <c r="BI36" i="18"/>
  <c r="N37" i="16"/>
  <c r="O21" i="16"/>
  <c r="N18" i="16"/>
  <c r="O17" i="16"/>
  <c r="O16" i="16"/>
  <c r="M47" i="16"/>
  <c r="BJ49" i="16"/>
  <c r="M49" i="16" s="1"/>
  <c r="BN30" i="16"/>
  <c r="BO30" i="16" s="1"/>
  <c r="BJ34" i="15"/>
  <c r="BJ43" i="15"/>
  <c r="BH35" i="15"/>
  <c r="BG35" i="15"/>
  <c r="BI35" i="15"/>
  <c r="BL18" i="15"/>
  <c r="BO45" i="15"/>
  <c r="O45" i="15" s="1"/>
  <c r="C15" i="14" s="1"/>
  <c r="BI36" i="15"/>
  <c r="BH36" i="15"/>
  <c r="BG36" i="15"/>
  <c r="BO39" i="15"/>
  <c r="O39" i="15" s="1"/>
  <c r="BS4" i="15"/>
  <c r="BT4" i="15"/>
  <c r="BR4" i="15"/>
  <c r="BI33" i="15"/>
  <c r="BH33" i="15"/>
  <c r="BG33" i="15"/>
  <c r="BI27" i="12"/>
  <c r="BJ27" i="12" s="1"/>
  <c r="BI28" i="12"/>
  <c r="BJ28" i="12" s="1"/>
  <c r="BI24" i="12"/>
  <c r="BJ24" i="12" s="1"/>
  <c r="BI16" i="12"/>
  <c r="BJ16" i="12" s="1"/>
  <c r="BI25" i="12"/>
  <c r="BJ25" i="12" s="1"/>
  <c r="BI22" i="12"/>
  <c r="BJ22" i="12" s="1"/>
  <c r="BI21" i="12"/>
  <c r="BI26" i="12"/>
  <c r="BJ26" i="12" s="1"/>
  <c r="BI23" i="12"/>
  <c r="BJ23" i="12" s="1"/>
  <c r="BJ18" i="12"/>
  <c r="M18" i="12" s="1"/>
  <c r="BE49" i="12"/>
  <c r="L49" i="12" s="1"/>
  <c r="BO7" i="22" l="1"/>
  <c r="BH37" i="22"/>
  <c r="BI37" i="22"/>
  <c r="BG37" i="22"/>
  <c r="BJ37" i="22" s="1"/>
  <c r="BJ42" i="22"/>
  <c r="BO14" i="22"/>
  <c r="M30" i="22"/>
  <c r="BN8" i="22"/>
  <c r="BM8" i="22"/>
  <c r="BL8" i="22"/>
  <c r="O8" i="22"/>
  <c r="BJ41" i="22"/>
  <c r="BO6" i="22"/>
  <c r="BJ40" i="22"/>
  <c r="BN18" i="21"/>
  <c r="BN21" i="21" s="1"/>
  <c r="BO21" i="21" s="1"/>
  <c r="BU4" i="21"/>
  <c r="BH47" i="21"/>
  <c r="BH49" i="21" s="1"/>
  <c r="BI47" i="21"/>
  <c r="BI49" i="21" s="1"/>
  <c r="BM30" i="21"/>
  <c r="BJ36" i="21"/>
  <c r="BJ35" i="21"/>
  <c r="BJ33" i="21"/>
  <c r="BG47" i="21"/>
  <c r="BM30" i="20"/>
  <c r="N41" i="20"/>
  <c r="N40" i="20"/>
  <c r="BN18" i="20"/>
  <c r="BU4" i="18"/>
  <c r="BJ36" i="18"/>
  <c r="BH47" i="18"/>
  <c r="BH49" i="18" s="1"/>
  <c r="BJ35" i="18"/>
  <c r="BG47" i="18"/>
  <c r="BJ33" i="18"/>
  <c r="BL30" i="18"/>
  <c r="BM18" i="18"/>
  <c r="BI47" i="18"/>
  <c r="BI49" i="18" s="1"/>
  <c r="N41" i="16"/>
  <c r="N40" i="16"/>
  <c r="N30" i="16"/>
  <c r="N42" i="16"/>
  <c r="P14" i="16"/>
  <c r="N16" i="16"/>
  <c r="P6" i="16"/>
  <c r="P7" i="16"/>
  <c r="BN37" i="16"/>
  <c r="BL37" i="16"/>
  <c r="BM37" i="16"/>
  <c r="BH47" i="15"/>
  <c r="BH49" i="15" s="1"/>
  <c r="BJ36" i="15"/>
  <c r="BG47" i="15"/>
  <c r="BJ33" i="15"/>
  <c r="BJ35" i="15"/>
  <c r="BL28" i="15"/>
  <c r="BL27" i="15"/>
  <c r="BL26" i="15"/>
  <c r="BL24" i="15"/>
  <c r="BL25" i="15"/>
  <c r="BL22" i="15"/>
  <c r="BL23" i="15"/>
  <c r="BL16" i="15"/>
  <c r="BL21" i="15"/>
  <c r="BM17" i="15"/>
  <c r="BI47" i="15"/>
  <c r="BI49" i="15" s="1"/>
  <c r="BU4" i="15"/>
  <c r="M40" i="12"/>
  <c r="M41" i="12"/>
  <c r="N7" i="12"/>
  <c r="O7" i="12" s="1"/>
  <c r="M42" i="12"/>
  <c r="N6" i="12"/>
  <c r="O6" i="12" s="1"/>
  <c r="M16" i="12"/>
  <c r="N14" i="12"/>
  <c r="O14" i="12" s="1"/>
  <c r="BI30" i="12"/>
  <c r="BJ21" i="12"/>
  <c r="N39" i="22" l="1"/>
  <c r="N45" i="22"/>
  <c r="M34" i="22"/>
  <c r="M43" i="22"/>
  <c r="BL17" i="22"/>
  <c r="BO8" i="22"/>
  <c r="BO18" i="21"/>
  <c r="N18" i="21" s="1"/>
  <c r="BN26" i="21"/>
  <c r="BO26" i="21" s="1"/>
  <c r="O26" i="21" s="1"/>
  <c r="BN25" i="21"/>
  <c r="BO25" i="21" s="1"/>
  <c r="O25" i="21" s="1"/>
  <c r="BN22" i="21"/>
  <c r="BO22" i="21" s="1"/>
  <c r="O22" i="21" s="1"/>
  <c r="BN24" i="21"/>
  <c r="BO24" i="21" s="1"/>
  <c r="O24" i="21" s="1"/>
  <c r="BN23" i="21"/>
  <c r="BO23" i="21" s="1"/>
  <c r="O23" i="21" s="1"/>
  <c r="O18" i="21"/>
  <c r="O16" i="21" s="1"/>
  <c r="BN27" i="21"/>
  <c r="BO27" i="21" s="1"/>
  <c r="O27" i="21" s="1"/>
  <c r="BN16" i="21"/>
  <c r="BO16" i="21" s="1"/>
  <c r="BN28" i="21"/>
  <c r="BO28" i="21" s="1"/>
  <c r="O28" i="21" s="1"/>
  <c r="BJ47" i="21"/>
  <c r="BG49" i="21"/>
  <c r="N37" i="21"/>
  <c r="O21" i="21"/>
  <c r="BN28" i="20"/>
  <c r="BO28" i="20" s="1"/>
  <c r="O28" i="20" s="1"/>
  <c r="BN24" i="20"/>
  <c r="BO24" i="20" s="1"/>
  <c r="O24" i="20" s="1"/>
  <c r="BN27" i="20"/>
  <c r="BO27" i="20" s="1"/>
  <c r="O27" i="20" s="1"/>
  <c r="BN25" i="20"/>
  <c r="BO25" i="20" s="1"/>
  <c r="O25" i="20" s="1"/>
  <c r="BN26" i="20"/>
  <c r="BO26" i="20" s="1"/>
  <c r="O26" i="20" s="1"/>
  <c r="BN16" i="20"/>
  <c r="BO16" i="20" s="1"/>
  <c r="BO18" i="20"/>
  <c r="O18" i="20"/>
  <c r="BN22" i="20"/>
  <c r="BO22" i="20" s="1"/>
  <c r="O22" i="20" s="1"/>
  <c r="BN21" i="20"/>
  <c r="BN23" i="20"/>
  <c r="BO23" i="20" s="1"/>
  <c r="O23" i="20" s="1"/>
  <c r="BN41" i="20"/>
  <c r="BM41" i="20"/>
  <c r="BL41" i="20"/>
  <c r="BN40" i="20"/>
  <c r="BM40" i="20"/>
  <c r="BL40" i="20"/>
  <c r="BJ47" i="18"/>
  <c r="BG49" i="18"/>
  <c r="BM27" i="18"/>
  <c r="BM25" i="18"/>
  <c r="BM26" i="18"/>
  <c r="BM22" i="18"/>
  <c r="BM21" i="18"/>
  <c r="BM23" i="18"/>
  <c r="BM24" i="18"/>
  <c r="BM28" i="18"/>
  <c r="BM16" i="18"/>
  <c r="BN17" i="18"/>
  <c r="BO17" i="18" s="1"/>
  <c r="N17" i="18" s="1"/>
  <c r="BO37" i="16"/>
  <c r="O37" i="16" s="1"/>
  <c r="BM42" i="16"/>
  <c r="BN42" i="16"/>
  <c r="BL42" i="16"/>
  <c r="BO42" i="16" s="1"/>
  <c r="O42" i="16" s="1"/>
  <c r="BS6" i="16"/>
  <c r="BR6" i="16"/>
  <c r="BT6" i="16"/>
  <c r="BN40" i="16"/>
  <c r="BL40" i="16"/>
  <c r="BM40" i="16"/>
  <c r="P39" i="16"/>
  <c r="P45" i="16"/>
  <c r="N43" i="16"/>
  <c r="N34" i="16"/>
  <c r="O30" i="16"/>
  <c r="P8" i="16"/>
  <c r="BN41" i="16"/>
  <c r="BM41" i="16"/>
  <c r="BL41" i="16"/>
  <c r="BR14" i="16"/>
  <c r="BT14" i="16"/>
  <c r="BS14" i="16"/>
  <c r="BT7" i="16"/>
  <c r="BS7" i="16"/>
  <c r="BR7" i="16"/>
  <c r="BL30" i="15"/>
  <c r="BM18" i="15"/>
  <c r="BJ47" i="15"/>
  <c r="BG49" i="15"/>
  <c r="N8" i="12"/>
  <c r="O8" i="12" s="1"/>
  <c r="M37" i="12"/>
  <c r="BL14" i="12"/>
  <c r="BM14" i="12"/>
  <c r="BN14" i="12"/>
  <c r="BI40" i="12"/>
  <c r="BG40" i="12"/>
  <c r="BH40" i="12"/>
  <c r="BM7" i="12"/>
  <c r="BL7" i="12"/>
  <c r="BN7" i="12"/>
  <c r="BG41" i="12"/>
  <c r="BH41" i="12"/>
  <c r="BI41" i="12"/>
  <c r="BN6" i="12"/>
  <c r="BL6" i="12"/>
  <c r="BM6" i="12"/>
  <c r="BI42" i="12"/>
  <c r="BH42" i="12"/>
  <c r="BG42" i="12"/>
  <c r="BJ30" i="12"/>
  <c r="M30" i="12" s="1"/>
  <c r="BI43" i="22" l="1"/>
  <c r="BG43" i="22"/>
  <c r="BH43" i="22"/>
  <c r="M35" i="22"/>
  <c r="M33" i="22"/>
  <c r="BI34" i="22"/>
  <c r="M36" i="22"/>
  <c r="BG34" i="22"/>
  <c r="BJ34" i="22" s="1"/>
  <c r="BH34" i="22"/>
  <c r="BN45" i="22"/>
  <c r="BM45" i="22"/>
  <c r="BL45" i="22"/>
  <c r="BO45" i="22" s="1"/>
  <c r="O45" i="22" s="1"/>
  <c r="P4" i="22"/>
  <c r="BN39" i="22"/>
  <c r="BM39" i="22"/>
  <c r="BL39" i="22"/>
  <c r="BO39" i="22" s="1"/>
  <c r="O39" i="22" s="1"/>
  <c r="BL18" i="22"/>
  <c r="O17" i="21"/>
  <c r="BN30" i="21"/>
  <c r="BO30" i="21" s="1"/>
  <c r="BL37" i="21"/>
  <c r="BN37" i="21"/>
  <c r="BM37" i="21"/>
  <c r="M47" i="21"/>
  <c r="BJ49" i="21"/>
  <c r="M49" i="21" s="1"/>
  <c r="N42" i="21"/>
  <c r="N16" i="21"/>
  <c r="P14" i="21"/>
  <c r="P6" i="21"/>
  <c r="P7" i="21"/>
  <c r="BO40" i="20"/>
  <c r="O40" i="20" s="1"/>
  <c r="BO41" i="20"/>
  <c r="O41" i="20" s="1"/>
  <c r="BN30" i="20"/>
  <c r="BO21" i="20"/>
  <c r="O17" i="20"/>
  <c r="O16" i="20"/>
  <c r="N18" i="20"/>
  <c r="BM30" i="18"/>
  <c r="BN18" i="18"/>
  <c r="M47" i="18"/>
  <c r="BJ49" i="18"/>
  <c r="M49" i="18" s="1"/>
  <c r="BO41" i="16"/>
  <c r="O41" i="16" s="1"/>
  <c r="BR8" i="16"/>
  <c r="BS8" i="16"/>
  <c r="BT8" i="16"/>
  <c r="BL43" i="16"/>
  <c r="BN43" i="16"/>
  <c r="BM43" i="16"/>
  <c r="BU6" i="16"/>
  <c r="BU14" i="16"/>
  <c r="BS39" i="16"/>
  <c r="BR39" i="16"/>
  <c r="BT39" i="16"/>
  <c r="BT45" i="16"/>
  <c r="BS45" i="16"/>
  <c r="BR45" i="16"/>
  <c r="Q4" i="16"/>
  <c r="BU7" i="16"/>
  <c r="BL34" i="16"/>
  <c r="N33" i="16"/>
  <c r="N36" i="16"/>
  <c r="N35" i="16"/>
  <c r="BN34" i="16"/>
  <c r="BM34" i="16"/>
  <c r="BO40" i="16"/>
  <c r="O40" i="16" s="1"/>
  <c r="M47" i="15"/>
  <c r="BJ49" i="15"/>
  <c r="M49" i="15" s="1"/>
  <c r="BM27" i="15"/>
  <c r="BM26" i="15"/>
  <c r="BM25" i="15"/>
  <c r="BM22" i="15"/>
  <c r="BM28" i="15"/>
  <c r="BM23" i="15"/>
  <c r="BM24" i="15"/>
  <c r="BM16" i="15"/>
  <c r="BM21" i="15"/>
  <c r="BN17" i="15"/>
  <c r="BO17" i="15" s="1"/>
  <c r="N17" i="15" s="1"/>
  <c r="BN8" i="12"/>
  <c r="M34" i="12"/>
  <c r="N39" i="12"/>
  <c r="N45" i="12"/>
  <c r="P4" i="12" s="1"/>
  <c r="M43" i="12"/>
  <c r="BM8" i="12"/>
  <c r="BL8" i="12"/>
  <c r="BL17" i="12" s="1"/>
  <c r="BJ41" i="12"/>
  <c r="BJ42" i="12"/>
  <c r="BO7" i="12"/>
  <c r="BO6" i="12"/>
  <c r="BH37" i="12"/>
  <c r="BI37" i="12"/>
  <c r="BG37" i="12"/>
  <c r="BJ40" i="12"/>
  <c r="BO14" i="12"/>
  <c r="BG33" i="22" l="1"/>
  <c r="BI33" i="22"/>
  <c r="BH33" i="22"/>
  <c r="BI36" i="22"/>
  <c r="BG36" i="22"/>
  <c r="BH36" i="22"/>
  <c r="BH35" i="22"/>
  <c r="BG35" i="22"/>
  <c r="BI35" i="22"/>
  <c r="BL26" i="22"/>
  <c r="BL28" i="22"/>
  <c r="BL23" i="22"/>
  <c r="BL24" i="22"/>
  <c r="BL25" i="22"/>
  <c r="BL27" i="22"/>
  <c r="BL22" i="22"/>
  <c r="BL21" i="22"/>
  <c r="BL16" i="22"/>
  <c r="BM17" i="22"/>
  <c r="BM18" i="22" s="1"/>
  <c r="BJ43" i="22"/>
  <c r="BR4" i="22"/>
  <c r="BT4" i="22"/>
  <c r="BS4" i="22"/>
  <c r="P8" i="21"/>
  <c r="BT8" i="21" s="1"/>
  <c r="BM42" i="21"/>
  <c r="BN42" i="21"/>
  <c r="BL42" i="21"/>
  <c r="BT7" i="21"/>
  <c r="BS7" i="21"/>
  <c r="BR7" i="21"/>
  <c r="N41" i="21"/>
  <c r="N40" i="21"/>
  <c r="BO37" i="21"/>
  <c r="O37" i="21" s="1"/>
  <c r="BS14" i="21"/>
  <c r="BR14" i="21"/>
  <c r="BT14" i="21"/>
  <c r="N30" i="21"/>
  <c r="BT6" i="21"/>
  <c r="BS6" i="21"/>
  <c r="BR6" i="21"/>
  <c r="N42" i="20"/>
  <c r="N16" i="20"/>
  <c r="P14" i="20"/>
  <c r="P6" i="20"/>
  <c r="P7" i="20"/>
  <c r="N37" i="20"/>
  <c r="O21" i="20"/>
  <c r="BO30" i="20"/>
  <c r="BN28" i="18"/>
  <c r="BO28" i="18" s="1"/>
  <c r="O28" i="18" s="1"/>
  <c r="BN27" i="18"/>
  <c r="BO27" i="18" s="1"/>
  <c r="O27" i="18" s="1"/>
  <c r="BN25" i="18"/>
  <c r="BO25" i="18" s="1"/>
  <c r="O25" i="18" s="1"/>
  <c r="BO18" i="18"/>
  <c r="O18" i="18"/>
  <c r="BN23" i="18"/>
  <c r="BO23" i="18" s="1"/>
  <c r="O23" i="18" s="1"/>
  <c r="BN26" i="18"/>
  <c r="BO26" i="18" s="1"/>
  <c r="O26" i="18" s="1"/>
  <c r="BN24" i="18"/>
  <c r="BO24" i="18" s="1"/>
  <c r="O24" i="18" s="1"/>
  <c r="BN22" i="18"/>
  <c r="BO22" i="18" s="1"/>
  <c r="O22" i="18" s="1"/>
  <c r="BN21" i="18"/>
  <c r="BN16" i="18"/>
  <c r="BO16" i="18" s="1"/>
  <c r="N41" i="18"/>
  <c r="N40" i="18"/>
  <c r="BU45" i="16"/>
  <c r="BY4" i="16"/>
  <c r="BX4" i="16"/>
  <c r="BW4" i="16"/>
  <c r="BO43" i="16"/>
  <c r="O43" i="16" s="1"/>
  <c r="BN36" i="16"/>
  <c r="BM36" i="16"/>
  <c r="BL36" i="16"/>
  <c r="BN35" i="16"/>
  <c r="BM35" i="16"/>
  <c r="BL35" i="16"/>
  <c r="BU39" i="16"/>
  <c r="BO34" i="16"/>
  <c r="O34" i="16" s="1"/>
  <c r="BM33" i="16"/>
  <c r="BL33" i="16"/>
  <c r="BN33" i="16"/>
  <c r="BR17" i="16"/>
  <c r="BU8" i="16"/>
  <c r="N41" i="15"/>
  <c r="N40" i="15"/>
  <c r="BN18" i="15"/>
  <c r="BM30" i="15"/>
  <c r="M33" i="12"/>
  <c r="M36" i="12"/>
  <c r="M35" i="12"/>
  <c r="BO8" i="12"/>
  <c r="BJ37" i="12"/>
  <c r="BL18" i="12"/>
  <c r="BU4" i="22" l="1"/>
  <c r="BM27" i="22"/>
  <c r="BM25" i="22"/>
  <c r="BM28" i="22"/>
  <c r="BM16" i="22"/>
  <c r="BM23" i="22"/>
  <c r="BM22" i="22"/>
  <c r="BM26" i="22"/>
  <c r="BM24" i="22"/>
  <c r="BM21" i="22"/>
  <c r="BN17" i="22"/>
  <c r="BN18" i="22" s="1"/>
  <c r="BJ36" i="22"/>
  <c r="BI47" i="22"/>
  <c r="BI49" i="22" s="1"/>
  <c r="BH47" i="22"/>
  <c r="BH49" i="22" s="1"/>
  <c r="BL30" i="22"/>
  <c r="BG47" i="22"/>
  <c r="BJ33" i="22"/>
  <c r="BJ35" i="22"/>
  <c r="BS8" i="21"/>
  <c r="BR8" i="21"/>
  <c r="BU7" i="21"/>
  <c r="BN40" i="21"/>
  <c r="BL40" i="21"/>
  <c r="BM40" i="21"/>
  <c r="BO42" i="21"/>
  <c r="O42" i="21" s="1"/>
  <c r="BN41" i="21"/>
  <c r="BL41" i="21"/>
  <c r="BM41" i="21"/>
  <c r="N43" i="21"/>
  <c r="P45" i="21"/>
  <c r="N34" i="21"/>
  <c r="N33" i="21" s="1"/>
  <c r="P39" i="21"/>
  <c r="O30" i="21"/>
  <c r="BU14" i="21"/>
  <c r="BU6" i="21"/>
  <c r="BN37" i="20"/>
  <c r="BL37" i="20"/>
  <c r="BM37" i="20"/>
  <c r="BT6" i="20"/>
  <c r="BS6" i="20"/>
  <c r="BR6" i="20"/>
  <c r="BT7" i="20"/>
  <c r="BS7" i="20"/>
  <c r="BR7" i="20"/>
  <c r="BT14" i="20"/>
  <c r="BS14" i="20"/>
  <c r="BR14" i="20"/>
  <c r="P8" i="20"/>
  <c r="N30" i="20"/>
  <c r="BM42" i="20"/>
  <c r="BL42" i="20"/>
  <c r="BN42" i="20"/>
  <c r="BN40" i="18"/>
  <c r="BL40" i="18"/>
  <c r="BM40" i="18"/>
  <c r="O17" i="18"/>
  <c r="O16" i="18"/>
  <c r="BN41" i="18"/>
  <c r="BM41" i="18"/>
  <c r="BL41" i="18"/>
  <c r="N18" i="18"/>
  <c r="BN30" i="18"/>
  <c r="BO21" i="18"/>
  <c r="BO36" i="16"/>
  <c r="O36" i="16" s="1"/>
  <c r="BZ4" i="16"/>
  <c r="BO35" i="16"/>
  <c r="O35" i="16" s="1"/>
  <c r="BN47" i="16"/>
  <c r="BN49" i="16" s="1"/>
  <c r="BR18" i="16"/>
  <c r="BL47" i="16"/>
  <c r="BO33" i="16"/>
  <c r="O33" i="16" s="1"/>
  <c r="BM47" i="16"/>
  <c r="BM49" i="16" s="1"/>
  <c r="BN40" i="15"/>
  <c r="BM40" i="15"/>
  <c r="BL40" i="15"/>
  <c r="BN27" i="15"/>
  <c r="BO27" i="15" s="1"/>
  <c r="O27" i="15" s="1"/>
  <c r="BN25" i="15"/>
  <c r="BO25" i="15" s="1"/>
  <c r="O25" i="15" s="1"/>
  <c r="BN26" i="15"/>
  <c r="BO26" i="15" s="1"/>
  <c r="O26" i="15" s="1"/>
  <c r="BN28" i="15"/>
  <c r="BO28" i="15" s="1"/>
  <c r="O28" i="15" s="1"/>
  <c r="BN16" i="15"/>
  <c r="BO16" i="15" s="1"/>
  <c r="BN22" i="15"/>
  <c r="BO22" i="15" s="1"/>
  <c r="O22" i="15" s="1"/>
  <c r="BN23" i="15"/>
  <c r="BO23" i="15" s="1"/>
  <c r="O23" i="15" s="1"/>
  <c r="BN21" i="15"/>
  <c r="BO18" i="15"/>
  <c r="O18" i="15"/>
  <c r="C8" i="14" s="1"/>
  <c r="BN24" i="15"/>
  <c r="BO24" i="15" s="1"/>
  <c r="O24" i="15" s="1"/>
  <c r="C11" i="14" s="1"/>
  <c r="BN41" i="15"/>
  <c r="BM41" i="15"/>
  <c r="BL41" i="15"/>
  <c r="BL39" i="12"/>
  <c r="BM39" i="12"/>
  <c r="BN39" i="12"/>
  <c r="BL45" i="12"/>
  <c r="BN45" i="12"/>
  <c r="BM45" i="12"/>
  <c r="BH43" i="12"/>
  <c r="BG43" i="12"/>
  <c r="BI43" i="12"/>
  <c r="BG34" i="12"/>
  <c r="BI34" i="12"/>
  <c r="BH34" i="12"/>
  <c r="BL28" i="12"/>
  <c r="BL27" i="12"/>
  <c r="BL26" i="12"/>
  <c r="BL25" i="12"/>
  <c r="BL22" i="12"/>
  <c r="BL21" i="12"/>
  <c r="BL23" i="12"/>
  <c r="BL16" i="12"/>
  <c r="BL24" i="12"/>
  <c r="BM17" i="12"/>
  <c r="BM18" i="12" s="1"/>
  <c r="BO17" i="22" l="1"/>
  <c r="N17" i="22" s="1"/>
  <c r="BJ47" i="22"/>
  <c r="BG49" i="22"/>
  <c r="BN28" i="22"/>
  <c r="BO28" i="22" s="1"/>
  <c r="O28" i="22" s="1"/>
  <c r="BN27" i="22"/>
  <c r="BO27" i="22" s="1"/>
  <c r="O27" i="22" s="1"/>
  <c r="BN24" i="22"/>
  <c r="BO24" i="22" s="1"/>
  <c r="O24" i="22" s="1"/>
  <c r="BN25" i="22"/>
  <c r="BO25" i="22" s="1"/>
  <c r="O25" i="22" s="1"/>
  <c r="BO18" i="22"/>
  <c r="O18" i="22"/>
  <c r="BN22" i="22"/>
  <c r="BO22" i="22" s="1"/>
  <c r="O22" i="22" s="1"/>
  <c r="BN26" i="22"/>
  <c r="BO26" i="22" s="1"/>
  <c r="O26" i="22" s="1"/>
  <c r="BN23" i="22"/>
  <c r="BO23" i="22" s="1"/>
  <c r="O23" i="22" s="1"/>
  <c r="BN16" i="22"/>
  <c r="BO16" i="22" s="1"/>
  <c r="BN21" i="22"/>
  <c r="BM30" i="22"/>
  <c r="BU8" i="21"/>
  <c r="BR17" i="21"/>
  <c r="BR18" i="21" s="1"/>
  <c r="BN34" i="21"/>
  <c r="BM34" i="21"/>
  <c r="N36" i="21"/>
  <c r="N35" i="21"/>
  <c r="BL34" i="21"/>
  <c r="BS45" i="21"/>
  <c r="BT45" i="21"/>
  <c r="BR45" i="21"/>
  <c r="Q4" i="21"/>
  <c r="BS39" i="21"/>
  <c r="BT39" i="21"/>
  <c r="BR39" i="21"/>
  <c r="BM43" i="21"/>
  <c r="BL43" i="21"/>
  <c r="BN43" i="21"/>
  <c r="BO40" i="21"/>
  <c r="O40" i="21" s="1"/>
  <c r="BO41" i="21"/>
  <c r="O41" i="21" s="1"/>
  <c r="BU6" i="20"/>
  <c r="BU14" i="20"/>
  <c r="BO37" i="20"/>
  <c r="O37" i="20" s="1"/>
  <c r="BT8" i="20"/>
  <c r="BS8" i="20"/>
  <c r="BR8" i="20"/>
  <c r="BU7" i="20"/>
  <c r="BO42" i="20"/>
  <c r="O42" i="20" s="1"/>
  <c r="P39" i="20"/>
  <c r="P45" i="20"/>
  <c r="N43" i="20"/>
  <c r="O30" i="20"/>
  <c r="BO41" i="18"/>
  <c r="O41" i="18" s="1"/>
  <c r="N37" i="18"/>
  <c r="O21" i="18"/>
  <c r="BO30" i="18"/>
  <c r="N42" i="18"/>
  <c r="N16" i="18"/>
  <c r="P7" i="18"/>
  <c r="P14" i="18"/>
  <c r="P6" i="18"/>
  <c r="BO40" i="18"/>
  <c r="O40" i="18" s="1"/>
  <c r="C12" i="14"/>
  <c r="BR26" i="16"/>
  <c r="BR28" i="16"/>
  <c r="BR27" i="16"/>
  <c r="BR25" i="16"/>
  <c r="BR23" i="16"/>
  <c r="BR24" i="16"/>
  <c r="BR16" i="16"/>
  <c r="BR22" i="16"/>
  <c r="BR21" i="16"/>
  <c r="BS17" i="16"/>
  <c r="BS18" i="16" s="1"/>
  <c r="BO47" i="16"/>
  <c r="BL49" i="16"/>
  <c r="BO41" i="15"/>
  <c r="O41" i="15" s="1"/>
  <c r="BO40" i="15"/>
  <c r="O40" i="15" s="1"/>
  <c r="N18" i="15"/>
  <c r="O16" i="15"/>
  <c r="C6" i="14" s="1"/>
  <c r="O17" i="15"/>
  <c r="C7" i="14" s="1"/>
  <c r="BN30" i="15"/>
  <c r="BO21" i="15"/>
  <c r="BJ34" i="12"/>
  <c r="BM28" i="12"/>
  <c r="BM26" i="12"/>
  <c r="BM24" i="12"/>
  <c r="BM25" i="12"/>
  <c r="BM22" i="12"/>
  <c r="BM21" i="12"/>
  <c r="BM27" i="12"/>
  <c r="BM23" i="12"/>
  <c r="BM16" i="12"/>
  <c r="BN17" i="12"/>
  <c r="BO17" i="12" s="1"/>
  <c r="N17" i="12" s="1"/>
  <c r="BI35" i="12"/>
  <c r="BG35" i="12"/>
  <c r="BH35" i="12"/>
  <c r="BT4" i="12"/>
  <c r="BS4" i="12"/>
  <c r="BR4" i="12"/>
  <c r="BH36" i="12"/>
  <c r="BI36" i="12"/>
  <c r="BG36" i="12"/>
  <c r="BL30" i="12"/>
  <c r="BH33" i="12"/>
  <c r="BI33" i="12"/>
  <c r="BG33" i="12"/>
  <c r="BO45" i="12"/>
  <c r="O45" i="12" s="1"/>
  <c r="BJ43" i="12"/>
  <c r="BO39" i="12"/>
  <c r="O39" i="12" s="1"/>
  <c r="N18" i="22" l="1"/>
  <c r="M47" i="22"/>
  <c r="BJ49" i="22"/>
  <c r="M49" i="22" s="1"/>
  <c r="O17" i="22"/>
  <c r="O16" i="22"/>
  <c r="BN30" i="22"/>
  <c r="BO21" i="22"/>
  <c r="BU39" i="21"/>
  <c r="BO34" i="21"/>
  <c r="O34" i="21" s="1"/>
  <c r="BO43" i="21"/>
  <c r="O43" i="21" s="1"/>
  <c r="BL35" i="21"/>
  <c r="BM35" i="21"/>
  <c r="BN35" i="21"/>
  <c r="BR24" i="21"/>
  <c r="BR27" i="21"/>
  <c r="BR25" i="21"/>
  <c r="BR28" i="21"/>
  <c r="BR26" i="21"/>
  <c r="BR22" i="21"/>
  <c r="BR21" i="21"/>
  <c r="BR23" i="21"/>
  <c r="BR16" i="21"/>
  <c r="BS17" i="21"/>
  <c r="BN36" i="21"/>
  <c r="BM36" i="21"/>
  <c r="BL36" i="21"/>
  <c r="BN33" i="21"/>
  <c r="BM33" i="21"/>
  <c r="BL33" i="21"/>
  <c r="O33" i="21" s="1"/>
  <c r="BY4" i="21"/>
  <c r="BX4" i="21"/>
  <c r="BW4" i="21"/>
  <c r="BU45" i="21"/>
  <c r="BT45" i="20"/>
  <c r="BS45" i="20"/>
  <c r="BR45" i="20"/>
  <c r="Q4" i="20"/>
  <c r="BR17" i="20"/>
  <c r="BU8" i="20"/>
  <c r="BT39" i="20"/>
  <c r="BS39" i="20"/>
  <c r="BR39" i="20"/>
  <c r="BM34" i="20"/>
  <c r="BL34" i="20"/>
  <c r="N33" i="20"/>
  <c r="N36" i="20"/>
  <c r="N35" i="20"/>
  <c r="BN34" i="20"/>
  <c r="BL43" i="20"/>
  <c r="BN43" i="20"/>
  <c r="BM43" i="20"/>
  <c r="P8" i="18"/>
  <c r="BS8" i="18" s="1"/>
  <c r="BT14" i="18"/>
  <c r="BR14" i="18"/>
  <c r="BS14" i="18"/>
  <c r="N30" i="18"/>
  <c r="BM42" i="18"/>
  <c r="BN42" i="18"/>
  <c r="BL42" i="18"/>
  <c r="BS7" i="18"/>
  <c r="BR7" i="18"/>
  <c r="BT7" i="18"/>
  <c r="BT6" i="18"/>
  <c r="BS6" i="18"/>
  <c r="BR6" i="18"/>
  <c r="BN37" i="18"/>
  <c r="BL37" i="18"/>
  <c r="BM37" i="18"/>
  <c r="BS26" i="16"/>
  <c r="BS28" i="16"/>
  <c r="BS27" i="16"/>
  <c r="BS24" i="16"/>
  <c r="BS16" i="16"/>
  <c r="BT18" i="16"/>
  <c r="BS22" i="16"/>
  <c r="BS21" i="16"/>
  <c r="BS25" i="16"/>
  <c r="BS23" i="16"/>
  <c r="BT17" i="16"/>
  <c r="N47" i="16"/>
  <c r="O47" i="16" s="1"/>
  <c r="BO49" i="16"/>
  <c r="N49" i="16" s="1"/>
  <c r="BR30" i="16"/>
  <c r="BU17" i="16"/>
  <c r="P17" i="16" s="1"/>
  <c r="N37" i="15"/>
  <c r="O21" i="15"/>
  <c r="C10" i="14" s="1"/>
  <c r="N42" i="15"/>
  <c r="N16" i="15"/>
  <c r="P14" i="15"/>
  <c r="P6" i="15"/>
  <c r="P7" i="15"/>
  <c r="BO30" i="15"/>
  <c r="BH47" i="12"/>
  <c r="BH49" i="12" s="1"/>
  <c r="BM30" i="12"/>
  <c r="BJ36" i="12"/>
  <c r="BJ35" i="12"/>
  <c r="BG47" i="12"/>
  <c r="BJ33" i="12"/>
  <c r="BN18" i="12"/>
  <c r="O18" i="12" s="1"/>
  <c r="O22" i="3" s="1"/>
  <c r="BI47" i="12"/>
  <c r="BI49" i="12" s="1"/>
  <c r="BU4" i="12"/>
  <c r="N42" i="22" l="1"/>
  <c r="N16" i="22"/>
  <c r="P14" i="22"/>
  <c r="P6" i="22"/>
  <c r="P7" i="22"/>
  <c r="N41" i="22"/>
  <c r="N40" i="22"/>
  <c r="N37" i="22"/>
  <c r="O21" i="22"/>
  <c r="BO30" i="22"/>
  <c r="BM47" i="21"/>
  <c r="BM49" i="21" s="1"/>
  <c r="BN47" i="21"/>
  <c r="BN49" i="21" s="1"/>
  <c r="BO36" i="21"/>
  <c r="O36" i="21" s="1"/>
  <c r="BO33" i="21"/>
  <c r="BL47" i="21"/>
  <c r="BR30" i="21"/>
  <c r="BO35" i="21"/>
  <c r="O35" i="21" s="1"/>
  <c r="BS18" i="21"/>
  <c r="BZ4" i="21"/>
  <c r="BU45" i="20"/>
  <c r="BR18" i="20"/>
  <c r="BN35" i="20"/>
  <c r="BM35" i="20"/>
  <c r="BL35" i="20"/>
  <c r="BN33" i="20"/>
  <c r="BM33" i="20"/>
  <c r="BL33" i="20"/>
  <c r="BO34" i="20"/>
  <c r="O34" i="20" s="1"/>
  <c r="BY4" i="20"/>
  <c r="BX4" i="20"/>
  <c r="BW4" i="20"/>
  <c r="BN36" i="20"/>
  <c r="BM36" i="20"/>
  <c r="BL36" i="20"/>
  <c r="BO43" i="20"/>
  <c r="O43" i="20" s="1"/>
  <c r="BU39" i="20"/>
  <c r="BT8" i="18"/>
  <c r="BR8" i="18"/>
  <c r="BR17" i="18" s="1"/>
  <c r="BU6" i="18"/>
  <c r="BU7" i="18"/>
  <c r="BO42" i="18"/>
  <c r="O42" i="18" s="1"/>
  <c r="BO37" i="18"/>
  <c r="O37" i="18" s="1"/>
  <c r="P39" i="18"/>
  <c r="P45" i="18"/>
  <c r="N43" i="18"/>
  <c r="N34" i="18"/>
  <c r="O30" i="18"/>
  <c r="BU14" i="18"/>
  <c r="BT28" i="16"/>
  <c r="BU28" i="16" s="1"/>
  <c r="BT27" i="16"/>
  <c r="BU27" i="16" s="1"/>
  <c r="BT25" i="16"/>
  <c r="BU25" i="16" s="1"/>
  <c r="BT26" i="16"/>
  <c r="BU26" i="16" s="1"/>
  <c r="BT24" i="16"/>
  <c r="BU24" i="16" s="1"/>
  <c r="BT16" i="16"/>
  <c r="BU16" i="16" s="1"/>
  <c r="BU18" i="16"/>
  <c r="P18" i="16" s="1"/>
  <c r="BT22" i="16"/>
  <c r="BU22" i="16" s="1"/>
  <c r="BT21" i="16"/>
  <c r="BT23" i="16"/>
  <c r="BU23" i="16" s="1"/>
  <c r="P41" i="16"/>
  <c r="P40" i="16"/>
  <c r="O49" i="16"/>
  <c r="BS30" i="16"/>
  <c r="BT6" i="15"/>
  <c r="BR6" i="15"/>
  <c r="BS6" i="15"/>
  <c r="BT7" i="15"/>
  <c r="BS7" i="15"/>
  <c r="BR7" i="15"/>
  <c r="BM42" i="15"/>
  <c r="BL42" i="15"/>
  <c r="BN42" i="15"/>
  <c r="P8" i="15"/>
  <c r="N30" i="15"/>
  <c r="BT14" i="15"/>
  <c r="BS14" i="15"/>
  <c r="BR14" i="15"/>
  <c r="BL37" i="15"/>
  <c r="BN37" i="15"/>
  <c r="BM37" i="15"/>
  <c r="O17" i="12"/>
  <c r="O16" i="12"/>
  <c r="BN28" i="12"/>
  <c r="BO28" i="12" s="1"/>
  <c r="O28" i="12" s="1"/>
  <c r="BN25" i="12"/>
  <c r="BO25" i="12" s="1"/>
  <c r="O25" i="12" s="1"/>
  <c r="BN26" i="12"/>
  <c r="BO26" i="12" s="1"/>
  <c r="O26" i="12" s="1"/>
  <c r="BN22" i="12"/>
  <c r="BO22" i="12" s="1"/>
  <c r="O22" i="12" s="1"/>
  <c r="BN21" i="12"/>
  <c r="BN23" i="12"/>
  <c r="BO23" i="12" s="1"/>
  <c r="O23" i="12" s="1"/>
  <c r="BN24" i="12"/>
  <c r="BO24" i="12" s="1"/>
  <c r="O24" i="12" s="1"/>
  <c r="BN16" i="12"/>
  <c r="BO16" i="12" s="1"/>
  <c r="BN27" i="12"/>
  <c r="BO27" i="12" s="1"/>
  <c r="O27" i="12" s="1"/>
  <c r="BO18" i="12"/>
  <c r="N18" i="12" s="1"/>
  <c r="BJ47" i="12"/>
  <c r="M47" i="12" s="1"/>
  <c r="BG49" i="12"/>
  <c r="BT7" i="22" l="1"/>
  <c r="BS7" i="22"/>
  <c r="BR7" i="22"/>
  <c r="BR6" i="22"/>
  <c r="BT6" i="22"/>
  <c r="BS6" i="22"/>
  <c r="P8" i="22"/>
  <c r="BT14" i="22"/>
  <c r="BS14" i="22"/>
  <c r="BR14" i="22"/>
  <c r="BN40" i="22"/>
  <c r="BM40" i="22"/>
  <c r="BL40" i="22"/>
  <c r="N30" i="22"/>
  <c r="BL37" i="22"/>
  <c r="BN37" i="22"/>
  <c r="BM37" i="22"/>
  <c r="BN41" i="22"/>
  <c r="BL41" i="22"/>
  <c r="BM41" i="22"/>
  <c r="BL42" i="22"/>
  <c r="BN42" i="22"/>
  <c r="BM42" i="22"/>
  <c r="BS24" i="21"/>
  <c r="BS28" i="21"/>
  <c r="BS26" i="21"/>
  <c r="BS22" i="21"/>
  <c r="BS21" i="21"/>
  <c r="BS25" i="21"/>
  <c r="BS27" i="21"/>
  <c r="BS16" i="21"/>
  <c r="BS23" i="21"/>
  <c r="BT17" i="21"/>
  <c r="BU17" i="21" s="1"/>
  <c r="P17" i="21" s="1"/>
  <c r="BO47" i="21"/>
  <c r="BL49" i="21"/>
  <c r="BO35" i="20"/>
  <c r="O35" i="20" s="1"/>
  <c r="BN47" i="20"/>
  <c r="BN49" i="20" s="1"/>
  <c r="BZ4" i="20"/>
  <c r="BL47" i="20"/>
  <c r="BO33" i="20"/>
  <c r="O33" i="20" s="1"/>
  <c r="BM47" i="20"/>
  <c r="BM49" i="20" s="1"/>
  <c r="BR27" i="20"/>
  <c r="BR25" i="20"/>
  <c r="BR26" i="20"/>
  <c r="BR28" i="20"/>
  <c r="BR24" i="20"/>
  <c r="BR22" i="20"/>
  <c r="BR21" i="20"/>
  <c r="BR23" i="20"/>
  <c r="BR16" i="20"/>
  <c r="BS17" i="20"/>
  <c r="BO36" i="20"/>
  <c r="O36" i="20" s="1"/>
  <c r="BU8" i="18"/>
  <c r="BR18" i="18"/>
  <c r="BL43" i="18"/>
  <c r="BN43" i="18"/>
  <c r="BM43" i="18"/>
  <c r="BN34" i="18"/>
  <c r="BM34" i="18"/>
  <c r="N36" i="18"/>
  <c r="N35" i="18"/>
  <c r="BL34" i="18"/>
  <c r="N33" i="18"/>
  <c r="BS39" i="18"/>
  <c r="BR39" i="18"/>
  <c r="BT39" i="18"/>
  <c r="BT45" i="18"/>
  <c r="BS45" i="18"/>
  <c r="BR45" i="18"/>
  <c r="Q4" i="18"/>
  <c r="BR41" i="16"/>
  <c r="BT41" i="16"/>
  <c r="BS41" i="16"/>
  <c r="BT30" i="16"/>
  <c r="BU21" i="16"/>
  <c r="P42" i="16"/>
  <c r="P16" i="16"/>
  <c r="Q6" i="16"/>
  <c r="Q7" i="16"/>
  <c r="Q14" i="16"/>
  <c r="BT40" i="16"/>
  <c r="BR40" i="16"/>
  <c r="BS40" i="16"/>
  <c r="BU7" i="15"/>
  <c r="BT8" i="15"/>
  <c r="BS8" i="15"/>
  <c r="BR8" i="15"/>
  <c r="BO37" i="15"/>
  <c r="O37" i="15" s="1"/>
  <c r="BU14" i="15"/>
  <c r="BO42" i="15"/>
  <c r="O42" i="15" s="1"/>
  <c r="P45" i="15"/>
  <c r="P39" i="15"/>
  <c r="N43" i="15"/>
  <c r="N34" i="15"/>
  <c r="O30" i="15"/>
  <c r="C13" i="14" s="1"/>
  <c r="BU6" i="15"/>
  <c r="P7" i="12"/>
  <c r="N42" i="12"/>
  <c r="P14" i="12"/>
  <c r="N16" i="12"/>
  <c r="P6" i="12"/>
  <c r="BJ49" i="12"/>
  <c r="M49" i="12" s="1"/>
  <c r="BN30" i="12"/>
  <c r="BO21" i="12"/>
  <c r="O21" i="12" s="1"/>
  <c r="BO40" i="22" l="1"/>
  <c r="O40" i="22" s="1"/>
  <c r="BU7" i="22"/>
  <c r="BU14" i="22"/>
  <c r="BU6" i="22"/>
  <c r="BO37" i="22"/>
  <c r="O37" i="22" s="1"/>
  <c r="BO41" i="22"/>
  <c r="O41" i="22" s="1"/>
  <c r="P45" i="22"/>
  <c r="N43" i="22"/>
  <c r="P39" i="22"/>
  <c r="N34" i="22"/>
  <c r="O30" i="22"/>
  <c r="BO42" i="22"/>
  <c r="O42" i="22" s="1"/>
  <c r="BT8" i="22"/>
  <c r="BS8" i="22"/>
  <c r="BR8" i="22"/>
  <c r="N47" i="21"/>
  <c r="O47" i="21" s="1"/>
  <c r="BO49" i="21"/>
  <c r="N49" i="21" s="1"/>
  <c r="BT18" i="21"/>
  <c r="BS30" i="21"/>
  <c r="BR30" i="20"/>
  <c r="BS18" i="20"/>
  <c r="BO47" i="20"/>
  <c r="BL49" i="20"/>
  <c r="BU39" i="18"/>
  <c r="BN36" i="18"/>
  <c r="BM36" i="18"/>
  <c r="BL36" i="18"/>
  <c r="BN33" i="18"/>
  <c r="BL33" i="18"/>
  <c r="BM33" i="18"/>
  <c r="BO43" i="18"/>
  <c r="O43" i="18" s="1"/>
  <c r="BY4" i="18"/>
  <c r="BX4" i="18"/>
  <c r="BW4" i="18"/>
  <c r="BO34" i="18"/>
  <c r="O34" i="18" s="1"/>
  <c r="BR27" i="18"/>
  <c r="BR28" i="18"/>
  <c r="BR26" i="18"/>
  <c r="BR22" i="18"/>
  <c r="BR21" i="18"/>
  <c r="BR24" i="18"/>
  <c r="BR16" i="18"/>
  <c r="BR25" i="18"/>
  <c r="BR23" i="18"/>
  <c r="BS17" i="18"/>
  <c r="BS18" i="18" s="1"/>
  <c r="BU45" i="18"/>
  <c r="BL35" i="18"/>
  <c r="BM35" i="18"/>
  <c r="BN35" i="18"/>
  <c r="P37" i="16"/>
  <c r="BY6" i="16"/>
  <c r="BX6" i="16"/>
  <c r="BW6" i="16"/>
  <c r="BU30" i="16"/>
  <c r="BU40" i="16"/>
  <c r="Q8" i="16"/>
  <c r="BY14" i="16"/>
  <c r="BX14" i="16"/>
  <c r="BW14" i="16"/>
  <c r="BU41" i="16"/>
  <c r="BT42" i="16"/>
  <c r="BS42" i="16"/>
  <c r="BR42" i="16"/>
  <c r="BY7" i="16"/>
  <c r="BX7" i="16"/>
  <c r="BW7" i="16"/>
  <c r="BR17" i="15"/>
  <c r="BU8" i="15"/>
  <c r="BM43" i="15"/>
  <c r="BL43" i="15"/>
  <c r="BN43" i="15"/>
  <c r="BT45" i="15"/>
  <c r="BS45" i="15"/>
  <c r="BR45" i="15"/>
  <c r="Q4" i="15"/>
  <c r="N36" i="15"/>
  <c r="N35" i="15"/>
  <c r="BN34" i="15"/>
  <c r="BM34" i="15"/>
  <c r="BL34" i="15"/>
  <c r="N33" i="15"/>
  <c r="BS39" i="15"/>
  <c r="BR39" i="15"/>
  <c r="BT39" i="15"/>
  <c r="Z22" i="3"/>
  <c r="N40" i="12"/>
  <c r="N41" i="12"/>
  <c r="P8" i="12"/>
  <c r="N37" i="12"/>
  <c r="BO30" i="12"/>
  <c r="N30" i="12" s="1"/>
  <c r="O30" i="12" s="1"/>
  <c r="BM34" i="22" l="1"/>
  <c r="N36" i="22"/>
  <c r="BN34" i="22"/>
  <c r="N33" i="22"/>
  <c r="BL34" i="22"/>
  <c r="N35" i="22"/>
  <c r="BR17" i="22"/>
  <c r="BU8" i="22"/>
  <c r="BN43" i="22"/>
  <c r="BM43" i="22"/>
  <c r="BL43" i="22"/>
  <c r="BT45" i="22"/>
  <c r="BR45" i="22"/>
  <c r="BS45" i="22"/>
  <c r="Q4" i="22"/>
  <c r="BT39" i="22"/>
  <c r="BS39" i="22"/>
  <c r="BR39" i="22"/>
  <c r="BT28" i="21"/>
  <c r="BU28" i="21" s="1"/>
  <c r="BT27" i="21"/>
  <c r="BU27" i="21" s="1"/>
  <c r="BT25" i="21"/>
  <c r="BU25" i="21" s="1"/>
  <c r="BT26" i="21"/>
  <c r="BU26" i="21" s="1"/>
  <c r="BT22" i="21"/>
  <c r="BU22" i="21" s="1"/>
  <c r="BT21" i="21"/>
  <c r="BT23" i="21"/>
  <c r="BU23" i="21" s="1"/>
  <c r="BT24" i="21"/>
  <c r="BU24" i="21" s="1"/>
  <c r="BT16" i="21"/>
  <c r="BU16" i="21" s="1"/>
  <c r="BU18" i="21"/>
  <c r="P18" i="21" s="1"/>
  <c r="P40" i="21"/>
  <c r="P41" i="21"/>
  <c r="O49" i="21"/>
  <c r="N47" i="20"/>
  <c r="O47" i="20" s="1"/>
  <c r="BO49" i="20"/>
  <c r="N49" i="20" s="1"/>
  <c r="BS26" i="20"/>
  <c r="BS28" i="20"/>
  <c r="BS27" i="20"/>
  <c r="BS25" i="20"/>
  <c r="BS22" i="20"/>
  <c r="BS21" i="20"/>
  <c r="BS24" i="20"/>
  <c r="BS23" i="20"/>
  <c r="BS16" i="20"/>
  <c r="BT17" i="20"/>
  <c r="BU17" i="20" s="1"/>
  <c r="P17" i="20" s="1"/>
  <c r="BN47" i="18"/>
  <c r="BN49" i="18" s="1"/>
  <c r="BM47" i="18"/>
  <c r="BM49" i="18" s="1"/>
  <c r="BO36" i="18"/>
  <c r="O36" i="18" s="1"/>
  <c r="BZ4" i="18"/>
  <c r="BS27" i="18"/>
  <c r="BS23" i="18"/>
  <c r="BS24" i="18"/>
  <c r="BS28" i="18"/>
  <c r="BS25" i="18"/>
  <c r="BS26" i="18"/>
  <c r="BS22" i="18"/>
  <c r="BS21" i="18"/>
  <c r="BS16" i="18"/>
  <c r="BT17" i="18"/>
  <c r="BT18" i="18" s="1"/>
  <c r="BL47" i="18"/>
  <c r="BO33" i="18"/>
  <c r="O33" i="18" s="1"/>
  <c r="BO35" i="18"/>
  <c r="O35" i="18" s="1"/>
  <c r="BR30" i="18"/>
  <c r="BZ6" i="16"/>
  <c r="BZ14" i="16"/>
  <c r="BZ7" i="16"/>
  <c r="BU42" i="16"/>
  <c r="BY8" i="16"/>
  <c r="BX8" i="16"/>
  <c r="BW8" i="16"/>
  <c r="P30" i="16"/>
  <c r="BT37" i="16"/>
  <c r="BR37" i="16"/>
  <c r="BS37" i="16"/>
  <c r="BO34" i="15"/>
  <c r="O34" i="15" s="1"/>
  <c r="T22" i="3"/>
  <c r="BL33" i="15"/>
  <c r="BN33" i="15"/>
  <c r="BM33" i="15"/>
  <c r="BN35" i="15"/>
  <c r="BM35" i="15"/>
  <c r="BL35" i="15"/>
  <c r="BO43" i="15"/>
  <c r="O43" i="15" s="1"/>
  <c r="BU39" i="15"/>
  <c r="BY4" i="15"/>
  <c r="BX4" i="15"/>
  <c r="BW4" i="15"/>
  <c r="BN36" i="15"/>
  <c r="BM36" i="15"/>
  <c r="BL36" i="15"/>
  <c r="BU45" i="15"/>
  <c r="BR18" i="15"/>
  <c r="P45" i="12"/>
  <c r="Q4" i="12" s="1"/>
  <c r="N43" i="12"/>
  <c r="P39" i="12"/>
  <c r="N34" i="12"/>
  <c r="BT8" i="12"/>
  <c r="BS8" i="12"/>
  <c r="BR8" i="12"/>
  <c r="BR14" i="12"/>
  <c r="BT14" i="12"/>
  <c r="BS14" i="12"/>
  <c r="BN40" i="12"/>
  <c r="BM40" i="12"/>
  <c r="BL40" i="12"/>
  <c r="BS7" i="12"/>
  <c r="BR7" i="12"/>
  <c r="BT7" i="12"/>
  <c r="BM41" i="12"/>
  <c r="BL41" i="12"/>
  <c r="BN41" i="12"/>
  <c r="BM42" i="12"/>
  <c r="BN42" i="12"/>
  <c r="BL42" i="12"/>
  <c r="BT6" i="12"/>
  <c r="BS6" i="12"/>
  <c r="BR6" i="12"/>
  <c r="BM37" i="12"/>
  <c r="BL37" i="12"/>
  <c r="BN37" i="12"/>
  <c r="BO34" i="22" l="1"/>
  <c r="O34" i="22" s="1"/>
  <c r="BU39" i="22"/>
  <c r="BM35" i="22"/>
  <c r="BN35" i="22"/>
  <c r="BL35" i="22"/>
  <c r="BY4" i="22"/>
  <c r="BX4" i="22"/>
  <c r="BW4" i="22"/>
  <c r="BU45" i="22"/>
  <c r="BO43" i="22"/>
  <c r="O43" i="22" s="1"/>
  <c r="BN33" i="22"/>
  <c r="BL33" i="22"/>
  <c r="BM33" i="22"/>
  <c r="BN36" i="22"/>
  <c r="BM36" i="22"/>
  <c r="BL36" i="22"/>
  <c r="BO36" i="22" s="1"/>
  <c r="O36" i="22" s="1"/>
  <c r="BR18" i="22"/>
  <c r="BT41" i="21"/>
  <c r="BR41" i="21"/>
  <c r="BS41" i="21"/>
  <c r="BR40" i="21"/>
  <c r="BT40" i="21"/>
  <c r="BS40" i="21"/>
  <c r="P42" i="21"/>
  <c r="Q14" i="21"/>
  <c r="P16" i="21"/>
  <c r="Q6" i="21"/>
  <c r="Q7" i="21"/>
  <c r="BT30" i="21"/>
  <c r="BU21" i="21"/>
  <c r="BS30" i="20"/>
  <c r="P41" i="20"/>
  <c r="P40" i="20"/>
  <c r="O49" i="20"/>
  <c r="BT18" i="20"/>
  <c r="BS30" i="18"/>
  <c r="BT28" i="18"/>
  <c r="BU28" i="18" s="1"/>
  <c r="BT27" i="18"/>
  <c r="BU27" i="18" s="1"/>
  <c r="BT23" i="18"/>
  <c r="BU23" i="18" s="1"/>
  <c r="BT25" i="18"/>
  <c r="BU25" i="18" s="1"/>
  <c r="BU18" i="18"/>
  <c r="P18" i="18" s="1"/>
  <c r="BT26" i="18"/>
  <c r="BU26" i="18" s="1"/>
  <c r="BT24" i="18"/>
  <c r="BU24" i="18" s="1"/>
  <c r="BT22" i="18"/>
  <c r="BU22" i="18" s="1"/>
  <c r="BT16" i="18"/>
  <c r="BU16" i="18" s="1"/>
  <c r="BT21" i="18"/>
  <c r="BU21" i="18" s="1"/>
  <c r="BU17" i="18"/>
  <c r="P17" i="18" s="1"/>
  <c r="BO47" i="18"/>
  <c r="BL49" i="18"/>
  <c r="C16" i="14"/>
  <c r="Q39" i="16"/>
  <c r="Q45" i="16"/>
  <c r="P43" i="16"/>
  <c r="P34" i="16"/>
  <c r="BW17" i="16"/>
  <c r="BZ8" i="16"/>
  <c r="BU37" i="16"/>
  <c r="BO36" i="15"/>
  <c r="O36" i="15" s="1"/>
  <c r="BO35" i="15"/>
  <c r="O35" i="15" s="1"/>
  <c r="BZ4" i="15"/>
  <c r="BR26" i="15"/>
  <c r="BR28" i="15"/>
  <c r="BR27" i="15"/>
  <c r="BR16" i="15"/>
  <c r="BR25" i="15"/>
  <c r="BR22" i="15"/>
  <c r="BR23" i="15"/>
  <c r="BR21" i="15"/>
  <c r="BR24" i="15"/>
  <c r="BS17" i="15"/>
  <c r="BN47" i="15"/>
  <c r="BN49" i="15" s="1"/>
  <c r="BM47" i="15"/>
  <c r="BM49" i="15" s="1"/>
  <c r="BL47" i="15"/>
  <c r="BO33" i="15"/>
  <c r="O33" i="15" s="1"/>
  <c r="X22" i="3"/>
  <c r="N36" i="12"/>
  <c r="N35" i="12"/>
  <c r="N33" i="12"/>
  <c r="BO40" i="12"/>
  <c r="O40" i="12" s="1"/>
  <c r="BU6" i="12"/>
  <c r="BO37" i="12"/>
  <c r="O37" i="12" s="1"/>
  <c r="BU14" i="12"/>
  <c r="BO41" i="12"/>
  <c r="O41" i="12" s="1"/>
  <c r="BR17" i="12"/>
  <c r="BU8" i="12"/>
  <c r="BO42" i="12"/>
  <c r="O42" i="12" s="1"/>
  <c r="BU7" i="12"/>
  <c r="P22" i="3"/>
  <c r="BZ4" i="22" l="1"/>
  <c r="BO35" i="22"/>
  <c r="O35" i="22" s="1"/>
  <c r="BL47" i="22"/>
  <c r="BO33" i="22"/>
  <c r="O33" i="22" s="1"/>
  <c r="BR28" i="22"/>
  <c r="BR27" i="22"/>
  <c r="BR26" i="22"/>
  <c r="BR25" i="22"/>
  <c r="BR22" i="22"/>
  <c r="BR21" i="22"/>
  <c r="BR23" i="22"/>
  <c r="BR24" i="22"/>
  <c r="BR16" i="22"/>
  <c r="BS17" i="22"/>
  <c r="BS18" i="22" s="1"/>
  <c r="BM47" i="22"/>
  <c r="BM49" i="22" s="1"/>
  <c r="BN47" i="22"/>
  <c r="BN49" i="22" s="1"/>
  <c r="Q8" i="21"/>
  <c r="BY8" i="21" s="1"/>
  <c r="BU40" i="21"/>
  <c r="BU41" i="21"/>
  <c r="BX7" i="21"/>
  <c r="BW7" i="21"/>
  <c r="BY7" i="21"/>
  <c r="BY6" i="21"/>
  <c r="BX6" i="21"/>
  <c r="BW6" i="21"/>
  <c r="P37" i="21"/>
  <c r="BW14" i="21"/>
  <c r="BX14" i="21"/>
  <c r="BY14" i="21"/>
  <c r="BU30" i="21"/>
  <c r="BS42" i="21"/>
  <c r="BT42" i="21"/>
  <c r="BR42" i="21"/>
  <c r="BT26" i="20"/>
  <c r="BU26" i="20" s="1"/>
  <c r="BT23" i="20"/>
  <c r="BU23" i="20" s="1"/>
  <c r="BT28" i="20"/>
  <c r="BU28" i="20" s="1"/>
  <c r="BT24" i="20"/>
  <c r="BU24" i="20" s="1"/>
  <c r="BT27" i="20"/>
  <c r="BU27" i="20" s="1"/>
  <c r="BT25" i="20"/>
  <c r="BU25" i="20" s="1"/>
  <c r="BT22" i="20"/>
  <c r="BU22" i="20" s="1"/>
  <c r="BT21" i="20"/>
  <c r="BT16" i="20"/>
  <c r="BU16" i="20" s="1"/>
  <c r="BU18" i="20"/>
  <c r="P18" i="20" s="1"/>
  <c r="BT40" i="20"/>
  <c r="BS40" i="20"/>
  <c r="BR40" i="20"/>
  <c r="BR41" i="20"/>
  <c r="BT41" i="20"/>
  <c r="BS41" i="20"/>
  <c r="P42" i="18"/>
  <c r="P16" i="18"/>
  <c r="Q7" i="18"/>
  <c r="Q14" i="18"/>
  <c r="Q6" i="18"/>
  <c r="BT30" i="18"/>
  <c r="P37" i="18"/>
  <c r="N47" i="18"/>
  <c r="O47" i="18" s="1"/>
  <c r="BO49" i="18"/>
  <c r="N49" i="18" s="1"/>
  <c r="C17" i="14"/>
  <c r="P36" i="16"/>
  <c r="P35" i="16"/>
  <c r="BT34" i="16"/>
  <c r="BS34" i="16"/>
  <c r="BR34" i="16"/>
  <c r="BU34" i="16" s="1"/>
  <c r="P33" i="16"/>
  <c r="BT43" i="16"/>
  <c r="BS43" i="16"/>
  <c r="BR43" i="16"/>
  <c r="BW45" i="16"/>
  <c r="BY45" i="16"/>
  <c r="BX45" i="16"/>
  <c r="R4" i="16"/>
  <c r="BW18" i="16"/>
  <c r="BX39" i="16"/>
  <c r="BW39" i="16"/>
  <c r="BY39" i="16"/>
  <c r="BR30" i="15"/>
  <c r="BO47" i="15"/>
  <c r="BL49" i="15"/>
  <c r="BS18" i="15"/>
  <c r="AB22" i="3"/>
  <c r="BL43" i="12"/>
  <c r="BM43" i="12"/>
  <c r="BN43" i="12"/>
  <c r="BT45" i="12"/>
  <c r="BS45" i="12"/>
  <c r="BR45" i="12"/>
  <c r="BR39" i="12"/>
  <c r="BT39" i="12"/>
  <c r="BS39" i="12"/>
  <c r="BL34" i="12"/>
  <c r="BN34" i="12"/>
  <c r="BM34" i="12"/>
  <c r="BR18" i="12"/>
  <c r="BS23" i="22" l="1"/>
  <c r="BS28" i="22"/>
  <c r="BS27" i="22"/>
  <c r="BS22" i="22"/>
  <c r="BS26" i="22"/>
  <c r="BS24" i="22"/>
  <c r="BS21" i="22"/>
  <c r="BS16" i="22"/>
  <c r="BS25" i="22"/>
  <c r="BT17" i="22"/>
  <c r="BT18" i="22" s="1"/>
  <c r="BO47" i="22"/>
  <c r="BL49" i="22"/>
  <c r="BR30" i="22"/>
  <c r="BZ7" i="21"/>
  <c r="BW8" i="21"/>
  <c r="BW17" i="21" s="1"/>
  <c r="BX8" i="21"/>
  <c r="BZ6" i="21"/>
  <c r="P30" i="21"/>
  <c r="BT37" i="21"/>
  <c r="BR37" i="21"/>
  <c r="BS37" i="21"/>
  <c r="BU42" i="21"/>
  <c r="BZ14" i="21"/>
  <c r="BU40" i="20"/>
  <c r="BT30" i="20"/>
  <c r="BU21" i="20"/>
  <c r="P42" i="20"/>
  <c r="Q14" i="20"/>
  <c r="P16" i="20"/>
  <c r="Q6" i="20"/>
  <c r="Q7" i="20"/>
  <c r="BU41" i="20"/>
  <c r="BW7" i="18"/>
  <c r="BX7" i="18"/>
  <c r="BY7" i="18"/>
  <c r="BY14" i="18"/>
  <c r="BW14" i="18"/>
  <c r="BX14" i="18"/>
  <c r="Q8" i="18"/>
  <c r="BT37" i="18"/>
  <c r="BS37" i="18"/>
  <c r="BR37" i="18"/>
  <c r="BU30" i="18"/>
  <c r="BT42" i="18"/>
  <c r="BS42" i="18"/>
  <c r="BR42" i="18"/>
  <c r="P41" i="18"/>
  <c r="P40" i="18"/>
  <c r="O49" i="18"/>
  <c r="BX6" i="18"/>
  <c r="BW6" i="18"/>
  <c r="BY6" i="18"/>
  <c r="BZ39" i="16"/>
  <c r="BT33" i="16"/>
  <c r="BS33" i="16"/>
  <c r="BR33" i="16"/>
  <c r="BW28" i="16"/>
  <c r="BW27" i="16"/>
  <c r="BW26" i="16"/>
  <c r="BW22" i="16"/>
  <c r="BW21" i="16"/>
  <c r="BW23" i="16"/>
  <c r="BW25" i="16"/>
  <c r="BW24" i="16"/>
  <c r="BW16" i="16"/>
  <c r="BX17" i="16"/>
  <c r="BX18" i="16" s="1"/>
  <c r="BZ45" i="16"/>
  <c r="BT35" i="16"/>
  <c r="BS35" i="16"/>
  <c r="BR35" i="16"/>
  <c r="CC4" i="16"/>
  <c r="CB4" i="16"/>
  <c r="CD4" i="16"/>
  <c r="BU43" i="16"/>
  <c r="BT36" i="16"/>
  <c r="BS36" i="16"/>
  <c r="BR36" i="16"/>
  <c r="BS28" i="15"/>
  <c r="BS27" i="15"/>
  <c r="BS26" i="15"/>
  <c r="BS25" i="15"/>
  <c r="BS22" i="15"/>
  <c r="BS23" i="15"/>
  <c r="BS21" i="15"/>
  <c r="BS24" i="15"/>
  <c r="BS16" i="15"/>
  <c r="BT17" i="15"/>
  <c r="BU17" i="15" s="1"/>
  <c r="P17" i="15" s="1"/>
  <c r="N47" i="15"/>
  <c r="O47" i="15" s="1"/>
  <c r="C18" i="14" s="1"/>
  <c r="BO49" i="15"/>
  <c r="N49" i="15" s="1"/>
  <c r="V22" i="3"/>
  <c r="BU45" i="12"/>
  <c r="BU39" i="12"/>
  <c r="BY4" i="12"/>
  <c r="BW4" i="12"/>
  <c r="BX4" i="12"/>
  <c r="BN36" i="12"/>
  <c r="BM36" i="12"/>
  <c r="BL36" i="12"/>
  <c r="BM33" i="12"/>
  <c r="BN33" i="12"/>
  <c r="BL33" i="12"/>
  <c r="BO34" i="12"/>
  <c r="O34" i="12" s="1"/>
  <c r="BN35" i="12"/>
  <c r="BM35" i="12"/>
  <c r="BL35" i="12"/>
  <c r="BR26" i="12"/>
  <c r="BR27" i="12"/>
  <c r="BR23" i="12"/>
  <c r="BR24" i="12"/>
  <c r="BR16" i="12"/>
  <c r="BR21" i="12"/>
  <c r="BR28" i="12"/>
  <c r="BR25" i="12"/>
  <c r="BR22" i="12"/>
  <c r="BS17" i="12"/>
  <c r="BS18" i="12" s="1"/>
  <c r="BO43" i="12"/>
  <c r="O43" i="12" s="1"/>
  <c r="BU17" i="22" l="1"/>
  <c r="P17" i="22" s="1"/>
  <c r="BS30" i="22"/>
  <c r="BT27" i="22"/>
  <c r="BU27" i="22" s="1"/>
  <c r="BT26" i="22"/>
  <c r="BU26" i="22" s="1"/>
  <c r="BT22" i="22"/>
  <c r="BU22" i="22" s="1"/>
  <c r="BT21" i="22"/>
  <c r="BT23" i="22"/>
  <c r="BU23" i="22" s="1"/>
  <c r="BT28" i="22"/>
  <c r="BU28" i="22" s="1"/>
  <c r="BT24" i="22"/>
  <c r="BU24" i="22" s="1"/>
  <c r="BT25" i="22"/>
  <c r="BU25" i="22" s="1"/>
  <c r="BU18" i="22"/>
  <c r="P18" i="22" s="1"/>
  <c r="BT16" i="22"/>
  <c r="BU16" i="22" s="1"/>
  <c r="N47" i="22"/>
  <c r="O47" i="22" s="1"/>
  <c r="BO49" i="22"/>
  <c r="N49" i="22" s="1"/>
  <c r="BZ8" i="21"/>
  <c r="BW18" i="21"/>
  <c r="BU37" i="21"/>
  <c r="Q39" i="21"/>
  <c r="Q45" i="21"/>
  <c r="P43" i="21"/>
  <c r="Q8" i="20"/>
  <c r="BY8" i="20" s="1"/>
  <c r="P37" i="20"/>
  <c r="BX7" i="20"/>
  <c r="BW7" i="20"/>
  <c r="BY7" i="20"/>
  <c r="BU30" i="20"/>
  <c r="BW14" i="20"/>
  <c r="BY14" i="20"/>
  <c r="BX14" i="20"/>
  <c r="BT42" i="20"/>
  <c r="BS42" i="20"/>
  <c r="BR42" i="20"/>
  <c r="BY6" i="20"/>
  <c r="BX6" i="20"/>
  <c r="BW6" i="20"/>
  <c r="BU37" i="18"/>
  <c r="P30" i="18"/>
  <c r="BZ14" i="18"/>
  <c r="BZ6" i="18"/>
  <c r="BT40" i="18"/>
  <c r="BR40" i="18"/>
  <c r="BS40" i="18"/>
  <c r="BR41" i="18"/>
  <c r="BT41" i="18"/>
  <c r="BS41" i="18"/>
  <c r="BU42" i="18"/>
  <c r="BY8" i="18"/>
  <c r="BX8" i="18"/>
  <c r="BW8" i="18"/>
  <c r="BZ7" i="18"/>
  <c r="BU35" i="16"/>
  <c r="BU36" i="16"/>
  <c r="BX28" i="16"/>
  <c r="BX27" i="16"/>
  <c r="BX26" i="16"/>
  <c r="BX22" i="16"/>
  <c r="BX21" i="16"/>
  <c r="BX23" i="16"/>
  <c r="BX25" i="16"/>
  <c r="BX24" i="16"/>
  <c r="BX16" i="16"/>
  <c r="BY17" i="16"/>
  <c r="BY18" i="16" s="1"/>
  <c r="BR47" i="16"/>
  <c r="BU33" i="16"/>
  <c r="BZ17" i="16"/>
  <c r="Q17" i="16" s="1"/>
  <c r="CE4" i="16"/>
  <c r="BW30" i="16"/>
  <c r="BS47" i="16"/>
  <c r="BS49" i="16" s="1"/>
  <c r="BT47" i="16"/>
  <c r="BT49" i="16" s="1"/>
  <c r="BT18" i="15"/>
  <c r="P41" i="15"/>
  <c r="P40" i="15"/>
  <c r="O49" i="15"/>
  <c r="C20" i="14" s="1"/>
  <c r="BS30" i="15"/>
  <c r="BO35" i="12"/>
  <c r="O35" i="12" s="1"/>
  <c r="BO36" i="12"/>
  <c r="O36" i="12" s="1"/>
  <c r="BR30" i="12"/>
  <c r="BS28" i="12"/>
  <c r="BS26" i="12"/>
  <c r="BS25" i="12"/>
  <c r="BS22" i="12"/>
  <c r="BS21" i="12"/>
  <c r="BS24" i="12"/>
  <c r="BS16" i="12"/>
  <c r="BS27" i="12"/>
  <c r="BS23" i="12"/>
  <c r="BT17" i="12"/>
  <c r="BU17" i="12" s="1"/>
  <c r="P17" i="12" s="1"/>
  <c r="BL47" i="12"/>
  <c r="BO33" i="12"/>
  <c r="O33" i="12" s="1"/>
  <c r="BN47" i="12"/>
  <c r="BN49" i="12" s="1"/>
  <c r="BZ4" i="12"/>
  <c r="BM47" i="12"/>
  <c r="BM49" i="12" s="1"/>
  <c r="BT30" i="22" l="1"/>
  <c r="P42" i="22"/>
  <c r="Q14" i="22"/>
  <c r="P16" i="22"/>
  <c r="Q7" i="22"/>
  <c r="Q6" i="22"/>
  <c r="BU21" i="22"/>
  <c r="P40" i="22"/>
  <c r="P41" i="22"/>
  <c r="O49" i="22"/>
  <c r="BW28" i="21"/>
  <c r="BW26" i="21"/>
  <c r="BW22" i="21"/>
  <c r="BW21" i="21"/>
  <c r="BW23" i="21"/>
  <c r="BW24" i="21"/>
  <c r="BW27" i="21"/>
  <c r="BW25" i="21"/>
  <c r="BW16" i="21"/>
  <c r="BX17" i="21"/>
  <c r="BX18" i="21" s="1"/>
  <c r="BX39" i="21"/>
  <c r="BW39" i="21"/>
  <c r="BY39" i="21"/>
  <c r="BS43" i="21"/>
  <c r="BS47" i="21" s="1"/>
  <c r="BS49" i="21" s="1"/>
  <c r="BT43" i="21"/>
  <c r="BT47" i="21" s="1"/>
  <c r="BT49" i="21" s="1"/>
  <c r="BR43" i="21"/>
  <c r="BX45" i="21"/>
  <c r="BW45" i="21"/>
  <c r="BY45" i="21"/>
  <c r="R4" i="21"/>
  <c r="BU42" i="20"/>
  <c r="BW8" i="20"/>
  <c r="BW17" i="20" s="1"/>
  <c r="BX8" i="20"/>
  <c r="BZ6" i="20"/>
  <c r="BZ7" i="20"/>
  <c r="BZ14" i="20"/>
  <c r="BT37" i="20"/>
  <c r="BS37" i="20"/>
  <c r="BR37" i="20"/>
  <c r="P30" i="20"/>
  <c r="BW17" i="18"/>
  <c r="BZ8" i="18"/>
  <c r="BU40" i="18"/>
  <c r="Q39" i="18"/>
  <c r="Q45" i="18"/>
  <c r="P43" i="18"/>
  <c r="P34" i="18"/>
  <c r="BU41" i="18"/>
  <c r="BX30" i="16"/>
  <c r="BY27" i="16"/>
  <c r="BZ27" i="16" s="1"/>
  <c r="BY25" i="16"/>
  <c r="BZ25" i="16" s="1"/>
  <c r="BY26" i="16"/>
  <c r="BZ26" i="16" s="1"/>
  <c r="BY28" i="16"/>
  <c r="BZ28" i="16" s="1"/>
  <c r="BY22" i="16"/>
  <c r="BZ22" i="16" s="1"/>
  <c r="BY21" i="16"/>
  <c r="BY23" i="16"/>
  <c r="BZ23" i="16" s="1"/>
  <c r="BY24" i="16"/>
  <c r="BZ24" i="16" s="1"/>
  <c r="BY16" i="16"/>
  <c r="BZ16" i="16" s="1"/>
  <c r="BZ18" i="16"/>
  <c r="Q18" i="16" s="1"/>
  <c r="BU47" i="16"/>
  <c r="BR49" i="16"/>
  <c r="BT28" i="15"/>
  <c r="BU28" i="15" s="1"/>
  <c r="BT27" i="15"/>
  <c r="BU27" i="15" s="1"/>
  <c r="BT26" i="15"/>
  <c r="BU26" i="15" s="1"/>
  <c r="BT22" i="15"/>
  <c r="BU22" i="15" s="1"/>
  <c r="BT23" i="15"/>
  <c r="BU23" i="15" s="1"/>
  <c r="BT21" i="15"/>
  <c r="BU18" i="15"/>
  <c r="P18" i="15" s="1"/>
  <c r="BT24" i="15"/>
  <c r="BU24" i="15" s="1"/>
  <c r="BT25" i="15"/>
  <c r="BU25" i="15" s="1"/>
  <c r="BT16" i="15"/>
  <c r="BU16" i="15" s="1"/>
  <c r="BR41" i="15"/>
  <c r="BT41" i="15"/>
  <c r="BS41" i="15"/>
  <c r="BT40" i="15"/>
  <c r="BR40" i="15"/>
  <c r="BS40" i="15"/>
  <c r="BT18" i="12"/>
  <c r="BT26" i="12" s="1"/>
  <c r="BU26" i="12" s="1"/>
  <c r="BS30" i="12"/>
  <c r="BO47" i="12"/>
  <c r="N47" i="12" s="1"/>
  <c r="O47" i="12" s="1"/>
  <c r="BL49" i="12"/>
  <c r="Q8" i="22" l="1"/>
  <c r="BX8" i="22" s="1"/>
  <c r="BS40" i="22"/>
  <c r="BR40" i="22"/>
  <c r="BT40" i="22"/>
  <c r="BW14" i="22"/>
  <c r="BY14" i="22"/>
  <c r="BX14" i="22"/>
  <c r="BU30" i="22"/>
  <c r="BS42" i="22"/>
  <c r="BR42" i="22"/>
  <c r="BT42" i="22"/>
  <c r="BY7" i="22"/>
  <c r="BX7" i="22"/>
  <c r="BW7" i="22"/>
  <c r="P37" i="22"/>
  <c r="BT41" i="22"/>
  <c r="BS41" i="22"/>
  <c r="BR41" i="22"/>
  <c r="BY6" i="22"/>
  <c r="BX6" i="22"/>
  <c r="BW6" i="22"/>
  <c r="BX28" i="21"/>
  <c r="BX26" i="21"/>
  <c r="BX22" i="21"/>
  <c r="BX21" i="21"/>
  <c r="BX24" i="21"/>
  <c r="BX16" i="21"/>
  <c r="BX27" i="21"/>
  <c r="BX25" i="21"/>
  <c r="BX23" i="21"/>
  <c r="BY17" i="21"/>
  <c r="BZ17" i="21" s="1"/>
  <c r="Q17" i="21" s="1"/>
  <c r="BW30" i="21"/>
  <c r="CD4" i="21"/>
  <c r="CC4" i="21"/>
  <c r="CB4" i="21"/>
  <c r="BZ45" i="21"/>
  <c r="BU43" i="21"/>
  <c r="BR47" i="21"/>
  <c r="BZ39" i="21"/>
  <c r="BU37" i="20"/>
  <c r="BZ8" i="20"/>
  <c r="BW18" i="20"/>
  <c r="Q39" i="20"/>
  <c r="Q45" i="20"/>
  <c r="P43" i="20"/>
  <c r="BT43" i="18"/>
  <c r="BS43" i="18"/>
  <c r="BR43" i="18"/>
  <c r="P33" i="18"/>
  <c r="P35" i="18"/>
  <c r="BT34" i="18"/>
  <c r="BS34" i="18"/>
  <c r="P36" i="18"/>
  <c r="BR34" i="18"/>
  <c r="BX39" i="18"/>
  <c r="BW39" i="18"/>
  <c r="BY39" i="18"/>
  <c r="BW45" i="18"/>
  <c r="BY45" i="18"/>
  <c r="BX45" i="18"/>
  <c r="R4" i="18"/>
  <c r="BW18" i="18"/>
  <c r="BY30" i="16"/>
  <c r="BZ21" i="16"/>
  <c r="P47" i="16"/>
  <c r="BU49" i="16"/>
  <c r="P49" i="16" s="1"/>
  <c r="Q42" i="16"/>
  <c r="Q16" i="16"/>
  <c r="R14" i="16"/>
  <c r="R7" i="16"/>
  <c r="R6" i="16"/>
  <c r="BU41" i="15"/>
  <c r="BT30" i="15"/>
  <c r="BU21" i="15"/>
  <c r="BU40" i="15"/>
  <c r="P42" i="15"/>
  <c r="P16" i="15"/>
  <c r="Q14" i="15"/>
  <c r="Q7" i="15"/>
  <c r="Q6" i="15"/>
  <c r="BT21" i="12"/>
  <c r="BU21" i="12" s="1"/>
  <c r="BT22" i="12"/>
  <c r="BU22" i="12" s="1"/>
  <c r="BT25" i="12"/>
  <c r="BU25" i="12" s="1"/>
  <c r="BT28" i="12"/>
  <c r="BU28" i="12" s="1"/>
  <c r="BT27" i="12"/>
  <c r="BU27" i="12" s="1"/>
  <c r="BT16" i="12"/>
  <c r="BU16" i="12" s="1"/>
  <c r="BU18" i="12"/>
  <c r="P18" i="12" s="1"/>
  <c r="P42" i="12" s="1"/>
  <c r="BT24" i="12"/>
  <c r="BU24" i="12" s="1"/>
  <c r="BT23" i="12"/>
  <c r="BU23" i="12" s="1"/>
  <c r="BO49" i="12"/>
  <c r="N49" i="12" s="1"/>
  <c r="BZ6" i="22" l="1"/>
  <c r="BY8" i="22"/>
  <c r="BW8" i="22"/>
  <c r="BZ7" i="22"/>
  <c r="BS37" i="22"/>
  <c r="BT37" i="22"/>
  <c r="BR37" i="22"/>
  <c r="BU37" i="22" s="1"/>
  <c r="BU42" i="22"/>
  <c r="BZ14" i="22"/>
  <c r="BU40" i="22"/>
  <c r="BW17" i="22"/>
  <c r="BU41" i="22"/>
  <c r="P30" i="22"/>
  <c r="BY18" i="21"/>
  <c r="BY22" i="21" s="1"/>
  <c r="BZ22" i="21" s="1"/>
  <c r="BX30" i="21"/>
  <c r="BU47" i="21"/>
  <c r="BR49" i="21"/>
  <c r="CE4" i="21"/>
  <c r="BY25" i="21"/>
  <c r="BZ25" i="21" s="1"/>
  <c r="P36" i="20"/>
  <c r="P35" i="20"/>
  <c r="BT34" i="20"/>
  <c r="BS34" i="20"/>
  <c r="BR34" i="20"/>
  <c r="P33" i="20"/>
  <c r="BY39" i="20"/>
  <c r="BX39" i="20"/>
  <c r="BW39" i="20"/>
  <c r="BT43" i="20"/>
  <c r="BS43" i="20"/>
  <c r="BR43" i="20"/>
  <c r="BW28" i="20"/>
  <c r="BW24" i="20"/>
  <c r="BW27" i="20"/>
  <c r="BW25" i="20"/>
  <c r="BW26" i="20"/>
  <c r="BW23" i="20"/>
  <c r="BW16" i="20"/>
  <c r="BW22" i="20"/>
  <c r="BW21" i="20"/>
  <c r="BX17" i="20"/>
  <c r="BW45" i="20"/>
  <c r="BY45" i="20"/>
  <c r="BX45" i="20"/>
  <c r="R4" i="20"/>
  <c r="BU43" i="18"/>
  <c r="BS35" i="18"/>
  <c r="BR35" i="18"/>
  <c r="BT35" i="18"/>
  <c r="BT33" i="18"/>
  <c r="BR33" i="18"/>
  <c r="BS33" i="18"/>
  <c r="BZ39" i="18"/>
  <c r="CB4" i="18"/>
  <c r="CD4" i="18"/>
  <c r="CC4" i="18"/>
  <c r="BZ45" i="18"/>
  <c r="BS36" i="18"/>
  <c r="BR36" i="18"/>
  <c r="BT36" i="18"/>
  <c r="BW28" i="18"/>
  <c r="BW27" i="18"/>
  <c r="BW24" i="18"/>
  <c r="BW16" i="18"/>
  <c r="BW26" i="18"/>
  <c r="BW22" i="18"/>
  <c r="BW21" i="18"/>
  <c r="BW25" i="18"/>
  <c r="BW23" i="18"/>
  <c r="BX17" i="18"/>
  <c r="BX18" i="18" s="1"/>
  <c r="BU34" i="18"/>
  <c r="BX42" i="16"/>
  <c r="BY42" i="16"/>
  <c r="BW42" i="16"/>
  <c r="BZ42" i="16" s="1"/>
  <c r="Q41" i="16"/>
  <c r="Q40" i="16"/>
  <c r="CC6" i="16"/>
  <c r="CB6" i="16"/>
  <c r="CD6" i="16"/>
  <c r="CB14" i="16"/>
  <c r="CD14" i="16"/>
  <c r="CC14" i="16"/>
  <c r="R8" i="16"/>
  <c r="Q37" i="16"/>
  <c r="CD7" i="16"/>
  <c r="CC7" i="16"/>
  <c r="CB7" i="16"/>
  <c r="BZ30" i="16"/>
  <c r="BY7" i="15"/>
  <c r="BX7" i="15"/>
  <c r="BW7" i="15"/>
  <c r="P37" i="15"/>
  <c r="BU30" i="15"/>
  <c r="BX6" i="15"/>
  <c r="BW6" i="15"/>
  <c r="BY6" i="15"/>
  <c r="BY14" i="15"/>
  <c r="BX14" i="15"/>
  <c r="BW14" i="15"/>
  <c r="Q8" i="15"/>
  <c r="BT42" i="15"/>
  <c r="BS42" i="15"/>
  <c r="BR42" i="15"/>
  <c r="O49" i="12"/>
  <c r="Q6" i="12"/>
  <c r="Q7" i="12"/>
  <c r="BY7" i="12" s="1"/>
  <c r="BT30" i="12"/>
  <c r="BU30" i="12" s="1"/>
  <c r="P30" i="12" s="1"/>
  <c r="Q45" i="12" s="1"/>
  <c r="R4" i="12" s="1"/>
  <c r="Q14" i="12"/>
  <c r="BX14" i="12" s="1"/>
  <c r="P16" i="12"/>
  <c r="P37" i="12"/>
  <c r="P41" i="12"/>
  <c r="P40" i="12"/>
  <c r="BT42" i="12"/>
  <c r="BS42" i="12"/>
  <c r="BR42" i="12"/>
  <c r="BZ8" i="22" l="1"/>
  <c r="Q39" i="22"/>
  <c r="P43" i="22"/>
  <c r="Q45" i="22"/>
  <c r="P34" i="22"/>
  <c r="BW18" i="22"/>
  <c r="BY27" i="21"/>
  <c r="BZ27" i="21" s="1"/>
  <c r="BY23" i="21"/>
  <c r="BZ23" i="21" s="1"/>
  <c r="BY28" i="21"/>
  <c r="BZ28" i="21" s="1"/>
  <c r="BZ18" i="21"/>
  <c r="Q18" i="21" s="1"/>
  <c r="Q42" i="21" s="1"/>
  <c r="BY16" i="21"/>
  <c r="BZ16" i="21" s="1"/>
  <c r="BY21" i="21"/>
  <c r="BY26" i="21"/>
  <c r="BZ26" i="21" s="1"/>
  <c r="BY24" i="21"/>
  <c r="BZ24" i="21" s="1"/>
  <c r="P47" i="21"/>
  <c r="BU49" i="21"/>
  <c r="P49" i="21" s="1"/>
  <c r="Q16" i="21"/>
  <c r="R14" i="21"/>
  <c r="R6" i="21"/>
  <c r="R7" i="21"/>
  <c r="BZ21" i="21"/>
  <c r="BU43" i="20"/>
  <c r="BU34" i="20"/>
  <c r="BZ45" i="20"/>
  <c r="BX18" i="20"/>
  <c r="BT33" i="20"/>
  <c r="BS33" i="20"/>
  <c r="BR33" i="20"/>
  <c r="CD4" i="20"/>
  <c r="CC4" i="20"/>
  <c r="CB4" i="20"/>
  <c r="BT35" i="20"/>
  <c r="BS35" i="20"/>
  <c r="BR35" i="20"/>
  <c r="BW30" i="20"/>
  <c r="BZ39" i="20"/>
  <c r="BR36" i="20"/>
  <c r="BT36" i="20"/>
  <c r="BS36" i="20"/>
  <c r="CE4" i="18"/>
  <c r="BS47" i="18"/>
  <c r="BS49" i="18" s="1"/>
  <c r="BW30" i="18"/>
  <c r="BR47" i="18"/>
  <c r="BU33" i="18"/>
  <c r="BU36" i="18"/>
  <c r="BT47" i="18"/>
  <c r="BT49" i="18" s="1"/>
  <c r="BX27" i="18"/>
  <c r="BX25" i="18"/>
  <c r="BX26" i="18"/>
  <c r="BX22" i="18"/>
  <c r="BX21" i="18"/>
  <c r="BX28" i="18"/>
  <c r="BX23" i="18"/>
  <c r="BX24" i="18"/>
  <c r="BX16" i="18"/>
  <c r="BY17" i="18"/>
  <c r="BY18" i="18" s="1"/>
  <c r="BU35" i="18"/>
  <c r="CE7" i="16"/>
  <c r="CE6" i="16"/>
  <c r="CB8" i="16"/>
  <c r="CC8" i="16"/>
  <c r="CD8" i="16"/>
  <c r="BY41" i="16"/>
  <c r="BX41" i="16"/>
  <c r="BW41" i="16"/>
  <c r="Q30" i="16"/>
  <c r="BY40" i="16"/>
  <c r="BW40" i="16"/>
  <c r="BX40" i="16"/>
  <c r="CE14" i="16"/>
  <c r="BY37" i="16"/>
  <c r="BW37" i="16"/>
  <c r="BX37" i="16"/>
  <c r="BU42" i="15"/>
  <c r="BZ14" i="15"/>
  <c r="BZ7" i="15"/>
  <c r="BR37" i="15"/>
  <c r="BT37" i="15"/>
  <c r="BS37" i="15"/>
  <c r="BZ6" i="15"/>
  <c r="P30" i="15"/>
  <c r="BX8" i="15"/>
  <c r="BW8" i="15"/>
  <c r="BY8" i="15"/>
  <c r="P34" i="12"/>
  <c r="P35" i="12" s="1"/>
  <c r="Q8" i="12"/>
  <c r="BW8" i="12" s="1"/>
  <c r="BX6" i="12"/>
  <c r="BW6" i="12"/>
  <c r="BY6" i="12"/>
  <c r="BW7" i="12"/>
  <c r="BX7" i="12"/>
  <c r="BZ7" i="12" s="1"/>
  <c r="BW14" i="12"/>
  <c r="BY14" i="12"/>
  <c r="Q39" i="12"/>
  <c r="P43" i="12"/>
  <c r="BU42" i="12"/>
  <c r="BS37" i="12"/>
  <c r="BT37" i="12"/>
  <c r="BR37" i="12"/>
  <c r="BR41" i="12"/>
  <c r="BS41" i="12"/>
  <c r="BT41" i="12"/>
  <c r="BT40" i="12"/>
  <c r="BR40" i="12"/>
  <c r="BS40" i="12"/>
  <c r="P35" i="22" l="1"/>
  <c r="BT34" i="22"/>
  <c r="P36" i="22"/>
  <c r="BR34" i="22"/>
  <c r="P33" i="22"/>
  <c r="BS34" i="22"/>
  <c r="BY45" i="22"/>
  <c r="BX45" i="22"/>
  <c r="BW45" i="22"/>
  <c r="R4" i="22"/>
  <c r="BW26" i="22"/>
  <c r="BW28" i="22"/>
  <c r="BW23" i="22"/>
  <c r="BW27" i="22"/>
  <c r="BW24" i="22"/>
  <c r="BW25" i="22"/>
  <c r="BW22" i="22"/>
  <c r="BW21" i="22"/>
  <c r="BW16" i="22"/>
  <c r="BX17" i="22"/>
  <c r="BX18" i="22" s="1"/>
  <c r="BT43" i="22"/>
  <c r="BR43" i="22"/>
  <c r="BS43" i="22"/>
  <c r="BY39" i="22"/>
  <c r="BX39" i="22"/>
  <c r="BW39" i="22"/>
  <c r="BY30" i="21"/>
  <c r="BZ30" i="21"/>
  <c r="CD7" i="21"/>
  <c r="CC7" i="21"/>
  <c r="CB7" i="21"/>
  <c r="BX42" i="21"/>
  <c r="BW42" i="21"/>
  <c r="BY42" i="21"/>
  <c r="CD6" i="21"/>
  <c r="CC6" i="21"/>
  <c r="CB6" i="21"/>
  <c r="Q41" i="21"/>
  <c r="Q40" i="21"/>
  <c r="CC14" i="21"/>
  <c r="CB14" i="21"/>
  <c r="CD14" i="21"/>
  <c r="R8" i="21"/>
  <c r="Q37" i="21"/>
  <c r="CE4" i="20"/>
  <c r="BU35" i="20"/>
  <c r="BT47" i="20"/>
  <c r="BT49" i="20" s="1"/>
  <c r="BS47" i="20"/>
  <c r="BS49" i="20" s="1"/>
  <c r="BX28" i="20"/>
  <c r="BX24" i="20"/>
  <c r="BX27" i="20"/>
  <c r="BX25" i="20"/>
  <c r="BX26" i="20"/>
  <c r="BX23" i="20"/>
  <c r="BX16" i="20"/>
  <c r="BX22" i="20"/>
  <c r="BX21" i="20"/>
  <c r="BY17" i="20"/>
  <c r="BZ17" i="20" s="1"/>
  <c r="Q17" i="20" s="1"/>
  <c r="BU36" i="20"/>
  <c r="BR47" i="20"/>
  <c r="BU33" i="20"/>
  <c r="BZ17" i="18"/>
  <c r="Q17" i="18" s="1"/>
  <c r="BY28" i="18"/>
  <c r="BZ28" i="18" s="1"/>
  <c r="BY27" i="18"/>
  <c r="BZ27" i="18" s="1"/>
  <c r="BY25" i="18"/>
  <c r="BZ25" i="18" s="1"/>
  <c r="BZ18" i="18"/>
  <c r="Q18" i="18" s="1"/>
  <c r="BY23" i="18"/>
  <c r="BZ23" i="18" s="1"/>
  <c r="BY26" i="18"/>
  <c r="BZ26" i="18" s="1"/>
  <c r="BY24" i="18"/>
  <c r="BZ24" i="18" s="1"/>
  <c r="BY22" i="18"/>
  <c r="BZ22" i="18" s="1"/>
  <c r="BY21" i="18"/>
  <c r="BZ21" i="18" s="1"/>
  <c r="BY16" i="18"/>
  <c r="BZ16" i="18" s="1"/>
  <c r="BX30" i="18"/>
  <c r="BU47" i="18"/>
  <c r="BR49" i="18"/>
  <c r="BZ41" i="16"/>
  <c r="BZ37" i="16"/>
  <c r="BZ40" i="16"/>
  <c r="R45" i="16"/>
  <c r="Q43" i="16"/>
  <c r="Q34" i="16"/>
  <c r="R39" i="16"/>
  <c r="CB17" i="16"/>
  <c r="CE8" i="16"/>
  <c r="Q45" i="15"/>
  <c r="Q39" i="15"/>
  <c r="P43" i="15"/>
  <c r="P34" i="15"/>
  <c r="BU37" i="15"/>
  <c r="BW17" i="15"/>
  <c r="BZ8" i="15"/>
  <c r="P36" i="12"/>
  <c r="P33" i="12"/>
  <c r="BY8" i="12"/>
  <c r="BX8" i="12"/>
  <c r="BW17" i="12"/>
  <c r="BW18" i="12" s="1"/>
  <c r="BZ6" i="12"/>
  <c r="BZ14" i="12"/>
  <c r="BU37" i="12"/>
  <c r="BW39" i="12"/>
  <c r="BY39" i="12"/>
  <c r="BX39" i="12"/>
  <c r="BS43" i="12"/>
  <c r="BR43" i="12"/>
  <c r="BT43" i="12"/>
  <c r="BW45" i="12"/>
  <c r="BY45" i="12"/>
  <c r="BX45" i="12"/>
  <c r="BR34" i="12"/>
  <c r="BS34" i="12"/>
  <c r="BT34" i="12"/>
  <c r="BU40" i="12"/>
  <c r="BU41" i="12"/>
  <c r="BZ39" i="22" l="1"/>
  <c r="BX27" i="22"/>
  <c r="BX28" i="22"/>
  <c r="BX26" i="22"/>
  <c r="BX25" i="22"/>
  <c r="BX16" i="22"/>
  <c r="BX23" i="22"/>
  <c r="BX22" i="22"/>
  <c r="BX21" i="22"/>
  <c r="BX24" i="22"/>
  <c r="BY17" i="22"/>
  <c r="BY18" i="22" s="1"/>
  <c r="BR33" i="22"/>
  <c r="BT33" i="22"/>
  <c r="BS33" i="22"/>
  <c r="BU43" i="22"/>
  <c r="BU34" i="22"/>
  <c r="BT36" i="22"/>
  <c r="BR36" i="22"/>
  <c r="BS36" i="22"/>
  <c r="BW30" i="22"/>
  <c r="CB4" i="22"/>
  <c r="CD4" i="22"/>
  <c r="CC4" i="22"/>
  <c r="BZ45" i="22"/>
  <c r="BS35" i="22"/>
  <c r="BR35" i="22"/>
  <c r="BT35" i="22"/>
  <c r="CE7" i="21"/>
  <c r="CE6" i="21"/>
  <c r="BY41" i="21"/>
  <c r="BW41" i="21"/>
  <c r="BX41" i="21"/>
  <c r="BW37" i="21"/>
  <c r="BY37" i="21"/>
  <c r="BX37" i="21"/>
  <c r="CD8" i="21"/>
  <c r="CC8" i="21"/>
  <c r="CB8" i="21"/>
  <c r="CE14" i="21"/>
  <c r="Q30" i="21"/>
  <c r="BY40" i="21"/>
  <c r="BW40" i="21"/>
  <c r="BX40" i="21"/>
  <c r="BZ42" i="21"/>
  <c r="BX30" i="20"/>
  <c r="BY18" i="20"/>
  <c r="BU47" i="20"/>
  <c r="BR49" i="20"/>
  <c r="P47" i="18"/>
  <c r="BU49" i="18"/>
  <c r="P49" i="18" s="1"/>
  <c r="Q42" i="18"/>
  <c r="R14" i="18"/>
  <c r="R7" i="18"/>
  <c r="R6" i="18"/>
  <c r="Q16" i="18"/>
  <c r="BY30" i="18"/>
  <c r="Q37" i="18"/>
  <c r="BW43" i="16"/>
  <c r="BY43" i="16"/>
  <c r="BX43" i="16"/>
  <c r="BW34" i="16"/>
  <c r="Q35" i="16"/>
  <c r="Q33" i="16"/>
  <c r="BY34" i="16"/>
  <c r="Q36" i="16"/>
  <c r="BX34" i="16"/>
  <c r="CB18" i="16"/>
  <c r="CD45" i="16"/>
  <c r="CC45" i="16"/>
  <c r="CB45" i="16"/>
  <c r="S4" i="16"/>
  <c r="CC39" i="16"/>
  <c r="CB39" i="16"/>
  <c r="CD39" i="16"/>
  <c r="P35" i="15"/>
  <c r="BT34" i="15"/>
  <c r="BS34" i="15"/>
  <c r="BR34" i="15"/>
  <c r="P33" i="15"/>
  <c r="P36" i="15"/>
  <c r="BW45" i="15"/>
  <c r="BY45" i="15"/>
  <c r="BX45" i="15"/>
  <c r="R4" i="15"/>
  <c r="BT43" i="15"/>
  <c r="BS43" i="15"/>
  <c r="BR43" i="15"/>
  <c r="BY39" i="15"/>
  <c r="BX39" i="15"/>
  <c r="BW39" i="15"/>
  <c r="BW18" i="15"/>
  <c r="BZ8" i="12"/>
  <c r="BU34" i="12"/>
  <c r="BT36" i="12"/>
  <c r="BS36" i="12"/>
  <c r="BR36" i="12"/>
  <c r="CD4" i="12"/>
  <c r="CB4" i="12"/>
  <c r="CC4" i="12"/>
  <c r="BU43" i="12"/>
  <c r="BS33" i="12"/>
  <c r="BT33" i="12"/>
  <c r="BR33" i="12"/>
  <c r="BZ45" i="12"/>
  <c r="BT35" i="12"/>
  <c r="BS35" i="12"/>
  <c r="BR35" i="12"/>
  <c r="BW27" i="12"/>
  <c r="BW24" i="12"/>
  <c r="BW28" i="12"/>
  <c r="BW22" i="12"/>
  <c r="BW21" i="12"/>
  <c r="BW26" i="12"/>
  <c r="BW23" i="12"/>
  <c r="BW16" i="12"/>
  <c r="BW25" i="12"/>
  <c r="BX17" i="12"/>
  <c r="BX18" i="12" s="1"/>
  <c r="BZ39" i="12"/>
  <c r="BT47" i="22" l="1"/>
  <c r="BT49" i="22" s="1"/>
  <c r="BU36" i="22"/>
  <c r="BX30" i="22"/>
  <c r="BY28" i="22"/>
  <c r="BZ28" i="22" s="1"/>
  <c r="BY27" i="22"/>
  <c r="BZ27" i="22" s="1"/>
  <c r="BY24" i="22"/>
  <c r="BZ24" i="22" s="1"/>
  <c r="BY26" i="22"/>
  <c r="BZ26" i="22" s="1"/>
  <c r="BY25" i="22"/>
  <c r="BZ25" i="22" s="1"/>
  <c r="BZ18" i="22"/>
  <c r="Q18" i="22" s="1"/>
  <c r="BY22" i="22"/>
  <c r="BZ22" i="22" s="1"/>
  <c r="BY23" i="22"/>
  <c r="BZ23" i="22" s="1"/>
  <c r="BY16" i="22"/>
  <c r="BZ16" i="22" s="1"/>
  <c r="BY21" i="22"/>
  <c r="CE4" i="22"/>
  <c r="BU35" i="22"/>
  <c r="BZ17" i="22"/>
  <c r="Q17" i="22" s="1"/>
  <c r="BR47" i="22"/>
  <c r="BU33" i="22"/>
  <c r="BS47" i="22"/>
  <c r="BS49" i="22" s="1"/>
  <c r="BZ40" i="21"/>
  <c r="R39" i="21"/>
  <c r="R45" i="21"/>
  <c r="Q43" i="21"/>
  <c r="BZ37" i="21"/>
  <c r="BZ41" i="21"/>
  <c r="CB17" i="21"/>
  <c r="CE8" i="21"/>
  <c r="BY28" i="20"/>
  <c r="BZ28" i="20" s="1"/>
  <c r="BY24" i="20"/>
  <c r="BZ24" i="20" s="1"/>
  <c r="BY27" i="20"/>
  <c r="BZ27" i="20" s="1"/>
  <c r="BY25" i="20"/>
  <c r="BZ25" i="20" s="1"/>
  <c r="BY26" i="20"/>
  <c r="BZ26" i="20" s="1"/>
  <c r="BY16" i="20"/>
  <c r="BZ16" i="20" s="1"/>
  <c r="BZ18" i="20"/>
  <c r="Q18" i="20" s="1"/>
  <c r="BY22" i="20"/>
  <c r="BZ22" i="20" s="1"/>
  <c r="BY21" i="20"/>
  <c r="BY23" i="20"/>
  <c r="BZ23" i="20" s="1"/>
  <c r="P47" i="20"/>
  <c r="BU49" i="20"/>
  <c r="P49" i="20" s="1"/>
  <c r="BX42" i="18"/>
  <c r="BY42" i="18"/>
  <c r="BW42" i="18"/>
  <c r="Q41" i="18"/>
  <c r="Q40" i="18"/>
  <c r="CC7" i="18"/>
  <c r="CB7" i="18"/>
  <c r="CD7" i="18"/>
  <c r="BZ30" i="18"/>
  <c r="BY37" i="18"/>
  <c r="BW37" i="18"/>
  <c r="BX37" i="18"/>
  <c r="CD14" i="18"/>
  <c r="CB14" i="18"/>
  <c r="CC14" i="18"/>
  <c r="CD6" i="18"/>
  <c r="CC6" i="18"/>
  <c r="CB6" i="18"/>
  <c r="R8" i="18"/>
  <c r="CE45" i="16"/>
  <c r="BY36" i="16"/>
  <c r="BX36" i="16"/>
  <c r="BW36" i="16"/>
  <c r="BY35" i="16"/>
  <c r="BX35" i="16"/>
  <c r="BW35" i="16"/>
  <c r="BZ35" i="16" s="1"/>
  <c r="CI4" i="16"/>
  <c r="CH4" i="16"/>
  <c r="CG4" i="16"/>
  <c r="T4" i="16"/>
  <c r="CB26" i="16"/>
  <c r="CB28" i="16"/>
  <c r="CB27" i="16"/>
  <c r="CB23" i="16"/>
  <c r="CB24" i="16"/>
  <c r="CB16" i="16"/>
  <c r="CB25" i="16"/>
  <c r="CB22" i="16"/>
  <c r="CB21" i="16"/>
  <c r="CC17" i="16"/>
  <c r="BX33" i="16"/>
  <c r="BW33" i="16"/>
  <c r="BY33" i="16"/>
  <c r="BZ34" i="16"/>
  <c r="CE39" i="16"/>
  <c r="BZ43" i="16"/>
  <c r="BZ45" i="15"/>
  <c r="BU43" i="15"/>
  <c r="BU34" i="15"/>
  <c r="BT36" i="15"/>
  <c r="BS36" i="15"/>
  <c r="BR36" i="15"/>
  <c r="CD4" i="15"/>
  <c r="CC4" i="15"/>
  <c r="CB4" i="15"/>
  <c r="BW28" i="15"/>
  <c r="BW27" i="15"/>
  <c r="BW26" i="15"/>
  <c r="BW24" i="15"/>
  <c r="BW25" i="15"/>
  <c r="BW22" i="15"/>
  <c r="BW23" i="15"/>
  <c r="BW16" i="15"/>
  <c r="BW21" i="15"/>
  <c r="BX17" i="15"/>
  <c r="BS35" i="15"/>
  <c r="BR35" i="15"/>
  <c r="BT35" i="15"/>
  <c r="BT33" i="15"/>
  <c r="BS33" i="15"/>
  <c r="BR33" i="15"/>
  <c r="BZ39" i="15"/>
  <c r="BU36" i="12"/>
  <c r="BU35" i="12"/>
  <c r="BT47" i="12"/>
  <c r="BT49" i="12" s="1"/>
  <c r="BS47" i="12"/>
  <c r="BS49" i="12" s="1"/>
  <c r="CE4" i="12"/>
  <c r="BX28" i="12"/>
  <c r="BX27" i="12"/>
  <c r="BX26" i="12"/>
  <c r="BX22" i="12"/>
  <c r="BX21" i="12"/>
  <c r="BX25" i="12"/>
  <c r="BX24" i="12"/>
  <c r="BX23" i="12"/>
  <c r="BX16" i="12"/>
  <c r="BY17" i="12"/>
  <c r="BZ17" i="12" s="1"/>
  <c r="Q17" i="12" s="1"/>
  <c r="BR47" i="12"/>
  <c r="BU33" i="12"/>
  <c r="BW30" i="12"/>
  <c r="Q42" i="22" l="1"/>
  <c r="R14" i="22"/>
  <c r="Q16" i="22"/>
  <c r="R7" i="22"/>
  <c r="R6" i="22"/>
  <c r="BU47" i="22"/>
  <c r="BR49" i="22"/>
  <c r="BY30" i="22"/>
  <c r="BZ21" i="22"/>
  <c r="CC45" i="21"/>
  <c r="CD45" i="21"/>
  <c r="CB45" i="21"/>
  <c r="S4" i="21"/>
  <c r="CB18" i="21"/>
  <c r="CC39" i="21"/>
  <c r="CD39" i="21"/>
  <c r="CB39" i="21"/>
  <c r="BX43" i="21"/>
  <c r="BX47" i="21" s="1"/>
  <c r="BX49" i="21" s="1"/>
  <c r="BY43" i="21"/>
  <c r="BY47" i="21" s="1"/>
  <c r="BY49" i="21" s="1"/>
  <c r="BW43" i="21"/>
  <c r="Q40" i="20"/>
  <c r="Q41" i="20"/>
  <c r="BY30" i="20"/>
  <c r="BZ21" i="20"/>
  <c r="Q42" i="20"/>
  <c r="R14" i="20"/>
  <c r="Q16" i="20"/>
  <c r="R6" i="20"/>
  <c r="R7" i="20"/>
  <c r="BZ42" i="18"/>
  <c r="CE6" i="18"/>
  <c r="BZ37" i="18"/>
  <c r="BY41" i="18"/>
  <c r="BX41" i="18"/>
  <c r="BW41" i="18"/>
  <c r="BY40" i="18"/>
  <c r="BW40" i="18"/>
  <c r="BX40" i="18"/>
  <c r="CE14" i="18"/>
  <c r="CE7" i="18"/>
  <c r="Q30" i="18"/>
  <c r="CC8" i="18"/>
  <c r="CB8" i="18"/>
  <c r="CD8" i="18"/>
  <c r="BY47" i="16"/>
  <c r="BY49" i="16" s="1"/>
  <c r="BX47" i="16"/>
  <c r="BX49" i="16" s="1"/>
  <c r="BZ36" i="16"/>
  <c r="CB30" i="16"/>
  <c r="CC18" i="16"/>
  <c r="BW47" i="16"/>
  <c r="BZ33" i="16"/>
  <c r="CJ4" i="16"/>
  <c r="CE4" i="15"/>
  <c r="BU36" i="15"/>
  <c r="BX18" i="15"/>
  <c r="BW30" i="15"/>
  <c r="BU35" i="15"/>
  <c r="BR47" i="15"/>
  <c r="BU33" i="15"/>
  <c r="BS47" i="15"/>
  <c r="BS49" i="15" s="1"/>
  <c r="BT47" i="15"/>
  <c r="BT49" i="15" s="1"/>
  <c r="BX30" i="12"/>
  <c r="BY18" i="12"/>
  <c r="BU47" i="12"/>
  <c r="P47" i="12" s="1"/>
  <c r="BR49" i="12"/>
  <c r="R8" i="22" l="1"/>
  <c r="CD8" i="22" s="1"/>
  <c r="CD7" i="22"/>
  <c r="CC7" i="22"/>
  <c r="CB7" i="22"/>
  <c r="CD14" i="22"/>
  <c r="CC14" i="22"/>
  <c r="CB14" i="22"/>
  <c r="BW42" i="22"/>
  <c r="BY42" i="22"/>
  <c r="BX42" i="22"/>
  <c r="CB6" i="22"/>
  <c r="CD6" i="22"/>
  <c r="CC6" i="22"/>
  <c r="P47" i="22"/>
  <c r="BU49" i="22"/>
  <c r="P49" i="22" s="1"/>
  <c r="Q37" i="22"/>
  <c r="BZ30" i="22"/>
  <c r="CE45" i="21"/>
  <c r="BZ43" i="21"/>
  <c r="BW47" i="21"/>
  <c r="CI4" i="21"/>
  <c r="CH4" i="21"/>
  <c r="CG4" i="21"/>
  <c r="T4" i="21"/>
  <c r="CB24" i="21"/>
  <c r="CB27" i="21"/>
  <c r="CB25" i="21"/>
  <c r="CB26" i="21"/>
  <c r="CB22" i="21"/>
  <c r="CB21" i="21"/>
  <c r="CB23" i="21"/>
  <c r="CB28" i="21"/>
  <c r="CC18" i="21"/>
  <c r="CB16" i="21"/>
  <c r="CC17" i="21"/>
  <c r="CE39" i="21"/>
  <c r="R8" i="20"/>
  <c r="CD8" i="20" s="1"/>
  <c r="CD14" i="20"/>
  <c r="CC14" i="20"/>
  <c r="CB14" i="20"/>
  <c r="Q37" i="20"/>
  <c r="BY41" i="20"/>
  <c r="BX41" i="20"/>
  <c r="BW41" i="20"/>
  <c r="BX42" i="20"/>
  <c r="BW42" i="20"/>
  <c r="BY42" i="20"/>
  <c r="CD7" i="20"/>
  <c r="CC7" i="20"/>
  <c r="CB7" i="20"/>
  <c r="BZ30" i="20"/>
  <c r="CD6" i="20"/>
  <c r="CC6" i="20"/>
  <c r="CB6" i="20"/>
  <c r="BY40" i="20"/>
  <c r="BX40" i="20"/>
  <c r="BW40" i="20"/>
  <c r="BZ41" i="18"/>
  <c r="R45" i="18"/>
  <c r="Q43" i="18"/>
  <c r="R39" i="18"/>
  <c r="Q34" i="18"/>
  <c r="BZ40" i="18"/>
  <c r="CB17" i="18"/>
  <c r="CE8" i="18"/>
  <c r="BZ47" i="16"/>
  <c r="BW49" i="16"/>
  <c r="CC26" i="16"/>
  <c r="CC28" i="16"/>
  <c r="CC27" i="16"/>
  <c r="CC24" i="16"/>
  <c r="CC16" i="16"/>
  <c r="CC25" i="16"/>
  <c r="CC22" i="16"/>
  <c r="CC21" i="16"/>
  <c r="CC23" i="16"/>
  <c r="CD17" i="16"/>
  <c r="CE17" i="16" s="1"/>
  <c r="R17" i="16" s="1"/>
  <c r="BU47" i="15"/>
  <c r="BR49" i="15"/>
  <c r="BX27" i="15"/>
  <c r="BX26" i="15"/>
  <c r="BX25" i="15"/>
  <c r="BX28" i="15"/>
  <c r="BX22" i="15"/>
  <c r="BX23" i="15"/>
  <c r="BX24" i="15"/>
  <c r="BX16" i="15"/>
  <c r="BX21" i="15"/>
  <c r="BY17" i="15"/>
  <c r="BZ17" i="15" s="1"/>
  <c r="Q17" i="15" s="1"/>
  <c r="BY25" i="12"/>
  <c r="BZ25" i="12" s="1"/>
  <c r="BY24" i="12"/>
  <c r="BZ24" i="12" s="1"/>
  <c r="BY28" i="12"/>
  <c r="BZ28" i="12" s="1"/>
  <c r="BY27" i="12"/>
  <c r="BZ27" i="12" s="1"/>
  <c r="BY22" i="12"/>
  <c r="BZ22" i="12" s="1"/>
  <c r="BY21" i="12"/>
  <c r="BY23" i="12"/>
  <c r="BZ23" i="12" s="1"/>
  <c r="BY16" i="12"/>
  <c r="BZ16" i="12" s="1"/>
  <c r="BZ18" i="12"/>
  <c r="Q18" i="12" s="1"/>
  <c r="BY26" i="12"/>
  <c r="BZ26" i="12" s="1"/>
  <c r="BU49" i="12"/>
  <c r="P49" i="12" s="1"/>
  <c r="CE7" i="22" l="1"/>
  <c r="CE6" i="22"/>
  <c r="CB8" i="22"/>
  <c r="CC8" i="22"/>
  <c r="CE14" i="22"/>
  <c r="BW37" i="22"/>
  <c r="BX37" i="22"/>
  <c r="BY37" i="22"/>
  <c r="Q40" i="22"/>
  <c r="Q41" i="22"/>
  <c r="CB17" i="22"/>
  <c r="BZ42" i="22"/>
  <c r="Q30" i="22"/>
  <c r="CJ4" i="21"/>
  <c r="CC24" i="21"/>
  <c r="CC26" i="21"/>
  <c r="CC22" i="21"/>
  <c r="CC21" i="21"/>
  <c r="CC28" i="21"/>
  <c r="CC27" i="21"/>
  <c r="CC23" i="21"/>
  <c r="CC16" i="21"/>
  <c r="CC25" i="21"/>
  <c r="CD17" i="21"/>
  <c r="CD18" i="21" s="1"/>
  <c r="CB30" i="21"/>
  <c r="BZ47" i="21"/>
  <c r="BW49" i="21"/>
  <c r="BZ40" i="20"/>
  <c r="CE14" i="20"/>
  <c r="CB8" i="20"/>
  <c r="CB17" i="20" s="1"/>
  <c r="CC8" i="20"/>
  <c r="CE7" i="20"/>
  <c r="BZ42" i="20"/>
  <c r="BZ41" i="20"/>
  <c r="Q30" i="20"/>
  <c r="CE6" i="20"/>
  <c r="BY37" i="20"/>
  <c r="BW37" i="20"/>
  <c r="BX37" i="20"/>
  <c r="BY34" i="18"/>
  <c r="Q36" i="18"/>
  <c r="BX34" i="18"/>
  <c r="Q35" i="18"/>
  <c r="Q33" i="18"/>
  <c r="BW34" i="18"/>
  <c r="CC39" i="18"/>
  <c r="CB39" i="18"/>
  <c r="CD39" i="18"/>
  <c r="CB18" i="18"/>
  <c r="BW43" i="18"/>
  <c r="BY43" i="18"/>
  <c r="BX43" i="18"/>
  <c r="CD45" i="18"/>
  <c r="CC45" i="18"/>
  <c r="CB45" i="18"/>
  <c r="S4" i="18"/>
  <c r="CC30" i="16"/>
  <c r="CD18" i="16"/>
  <c r="Q47" i="16"/>
  <c r="BZ49" i="16"/>
  <c r="Q49" i="16" s="1"/>
  <c r="BY18" i="15"/>
  <c r="BY27" i="15" s="1"/>
  <c r="BZ27" i="15" s="1"/>
  <c r="P47" i="15"/>
  <c r="BU49" i="15"/>
  <c r="P49" i="15" s="1"/>
  <c r="BX30" i="15"/>
  <c r="Q41" i="12"/>
  <c r="Q40" i="12"/>
  <c r="Q42" i="12"/>
  <c r="Q16" i="12"/>
  <c r="R14" i="12"/>
  <c r="R6" i="12"/>
  <c r="R7" i="12"/>
  <c r="BY30" i="12"/>
  <c r="BZ21" i="12"/>
  <c r="CE8" i="22" l="1"/>
  <c r="CB18" i="22"/>
  <c r="BY41" i="22"/>
  <c r="BW41" i="22"/>
  <c r="BX41" i="22"/>
  <c r="R39" i="22"/>
  <c r="R45" i="22"/>
  <c r="Q43" i="22"/>
  <c r="Q34" i="22"/>
  <c r="BY40" i="22"/>
  <c r="BX40" i="22"/>
  <c r="BW40" i="22"/>
  <c r="BZ37" i="22"/>
  <c r="CE17" i="21"/>
  <c r="R17" i="21" s="1"/>
  <c r="CD28" i="21"/>
  <c r="CE28" i="21" s="1"/>
  <c r="CD27" i="21"/>
  <c r="CE27" i="21" s="1"/>
  <c r="CD25" i="21"/>
  <c r="CE25" i="21" s="1"/>
  <c r="CD26" i="21"/>
  <c r="CE26" i="21" s="1"/>
  <c r="CD22" i="21"/>
  <c r="CE22" i="21" s="1"/>
  <c r="CD21" i="21"/>
  <c r="CD23" i="21"/>
  <c r="CE23" i="21" s="1"/>
  <c r="CD24" i="21"/>
  <c r="CE24" i="21" s="1"/>
  <c r="CD16" i="21"/>
  <c r="CE16" i="21" s="1"/>
  <c r="CE18" i="21"/>
  <c r="R18" i="21" s="1"/>
  <c r="Q47" i="21"/>
  <c r="BZ49" i="21"/>
  <c r="Q49" i="21" s="1"/>
  <c r="CC30" i="21"/>
  <c r="CE8" i="20"/>
  <c r="R39" i="20"/>
  <c r="R45" i="20"/>
  <c r="Q43" i="20"/>
  <c r="CB18" i="20"/>
  <c r="BZ37" i="20"/>
  <c r="BZ34" i="18"/>
  <c r="BZ43" i="18"/>
  <c r="BY33" i="18"/>
  <c r="BW33" i="18"/>
  <c r="BX33" i="18"/>
  <c r="CB27" i="18"/>
  <c r="CB28" i="18"/>
  <c r="CB26" i="18"/>
  <c r="CB22" i="18"/>
  <c r="CB21" i="18"/>
  <c r="CB24" i="18"/>
  <c r="CB16" i="18"/>
  <c r="CB25" i="18"/>
  <c r="CB23" i="18"/>
  <c r="CC17" i="18"/>
  <c r="BW35" i="18"/>
  <c r="BX35" i="18"/>
  <c r="BY35" i="18"/>
  <c r="BY36" i="18"/>
  <c r="BX36" i="18"/>
  <c r="BW36" i="18"/>
  <c r="CH4" i="18"/>
  <c r="CG4" i="18"/>
  <c r="CI4" i="18"/>
  <c r="T4" i="18"/>
  <c r="CE45" i="18"/>
  <c r="CE39" i="18"/>
  <c r="R40" i="16"/>
  <c r="R41" i="16"/>
  <c r="CD28" i="16"/>
  <c r="CE28" i="16" s="1"/>
  <c r="CD27" i="16"/>
  <c r="CE27" i="16" s="1"/>
  <c r="CD25" i="16"/>
  <c r="CE25" i="16" s="1"/>
  <c r="CD26" i="16"/>
  <c r="CE26" i="16" s="1"/>
  <c r="CD24" i="16"/>
  <c r="CE24" i="16" s="1"/>
  <c r="CD16" i="16"/>
  <c r="CE16" i="16" s="1"/>
  <c r="CE18" i="16"/>
  <c r="R18" i="16" s="1"/>
  <c r="CD22" i="16"/>
  <c r="CE22" i="16" s="1"/>
  <c r="CD21" i="16"/>
  <c r="CD23" i="16"/>
  <c r="CE23" i="16" s="1"/>
  <c r="BY22" i="15"/>
  <c r="BZ22" i="15" s="1"/>
  <c r="BY23" i="15"/>
  <c r="BZ23" i="15" s="1"/>
  <c r="BY28" i="15"/>
  <c r="BZ28" i="15" s="1"/>
  <c r="BY21" i="15"/>
  <c r="BZ21" i="15" s="1"/>
  <c r="BY16" i="15"/>
  <c r="BZ16" i="15" s="1"/>
  <c r="BY26" i="15"/>
  <c r="BZ26" i="15" s="1"/>
  <c r="BY24" i="15"/>
  <c r="BZ24" i="15" s="1"/>
  <c r="BY25" i="15"/>
  <c r="BZ25" i="15" s="1"/>
  <c r="BZ18" i="15"/>
  <c r="Q18" i="15" s="1"/>
  <c r="Q16" i="15" s="1"/>
  <c r="Q41" i="15"/>
  <c r="Q40" i="15"/>
  <c r="R8" i="12"/>
  <c r="CC8" i="12" s="1"/>
  <c r="Q37" i="12"/>
  <c r="CD6" i="12"/>
  <c r="CB6" i="12"/>
  <c r="CC6" i="12"/>
  <c r="BY40" i="12"/>
  <c r="BX40" i="12"/>
  <c r="BW40" i="12"/>
  <c r="BX41" i="12"/>
  <c r="BW41" i="12"/>
  <c r="BY41" i="12"/>
  <c r="BX42" i="12"/>
  <c r="BY42" i="12"/>
  <c r="BW42" i="12"/>
  <c r="CC7" i="12"/>
  <c r="CD7" i="12"/>
  <c r="CB7" i="12"/>
  <c r="CB14" i="12"/>
  <c r="CC14" i="12"/>
  <c r="CD14" i="12"/>
  <c r="BZ30" i="12"/>
  <c r="Q30" i="12" s="1"/>
  <c r="BZ40" i="22" l="1"/>
  <c r="BY43" i="22"/>
  <c r="BX43" i="22"/>
  <c r="BW43" i="22"/>
  <c r="CD45" i="22"/>
  <c r="CB45" i="22"/>
  <c r="CC45" i="22"/>
  <c r="S4" i="22"/>
  <c r="CD39" i="22"/>
  <c r="CC39" i="22"/>
  <c r="CB39" i="22"/>
  <c r="BZ41" i="22"/>
  <c r="CB28" i="22"/>
  <c r="CB27" i="22"/>
  <c r="CB26" i="22"/>
  <c r="CB25" i="22"/>
  <c r="CB22" i="22"/>
  <c r="CB21" i="22"/>
  <c r="CB23" i="22"/>
  <c r="CB24" i="22"/>
  <c r="CB16" i="22"/>
  <c r="CC17" i="22"/>
  <c r="Q33" i="22"/>
  <c r="Q36" i="22"/>
  <c r="BX34" i="22"/>
  <c r="Q35" i="22"/>
  <c r="BW34" i="22"/>
  <c r="BY34" i="22"/>
  <c r="R42" i="21"/>
  <c r="S14" i="21"/>
  <c r="R16" i="21"/>
  <c r="S6" i="21"/>
  <c r="S7" i="21"/>
  <c r="R41" i="21"/>
  <c r="R40" i="21"/>
  <c r="CD30" i="21"/>
  <c r="CE21" i="21"/>
  <c r="Q36" i="20"/>
  <c r="BX34" i="20"/>
  <c r="BW34" i="20"/>
  <c r="Q35" i="20"/>
  <c r="Q33" i="20"/>
  <c r="BY34" i="20"/>
  <c r="BW43" i="20"/>
  <c r="BY43" i="20"/>
  <c r="BX43" i="20"/>
  <c r="CD45" i="20"/>
  <c r="CC45" i="20"/>
  <c r="CB45" i="20"/>
  <c r="S4" i="20"/>
  <c r="CB27" i="20"/>
  <c r="CB25" i="20"/>
  <c r="CB26" i="20"/>
  <c r="CB28" i="20"/>
  <c r="CB24" i="20"/>
  <c r="CB22" i="20"/>
  <c r="CB21" i="20"/>
  <c r="CB23" i="20"/>
  <c r="CB16" i="20"/>
  <c r="CC17" i="20"/>
  <c r="CC18" i="20" s="1"/>
  <c r="CD39" i="20"/>
  <c r="CC39" i="20"/>
  <c r="CB39" i="20"/>
  <c r="BZ36" i="18"/>
  <c r="CJ4" i="18"/>
  <c r="BX47" i="18"/>
  <c r="BX49" i="18" s="1"/>
  <c r="BZ35" i="18"/>
  <c r="BW47" i="18"/>
  <c r="BZ33" i="18"/>
  <c r="BY47" i="18"/>
  <c r="BY49" i="18" s="1"/>
  <c r="CC18" i="18"/>
  <c r="CB30" i="18"/>
  <c r="CD30" i="16"/>
  <c r="CE21" i="16"/>
  <c r="CD40" i="16"/>
  <c r="CB40" i="16"/>
  <c r="CC40" i="16"/>
  <c r="CB41" i="16"/>
  <c r="CD41" i="16"/>
  <c r="CC41" i="16"/>
  <c r="R42" i="16"/>
  <c r="R16" i="16"/>
  <c r="S14" i="16"/>
  <c r="S7" i="16"/>
  <c r="S6" i="16"/>
  <c r="R6" i="15"/>
  <c r="CD6" i="15" s="1"/>
  <c r="R14" i="15"/>
  <c r="CC14" i="15" s="1"/>
  <c r="Q42" i="15"/>
  <c r="BY42" i="15" s="1"/>
  <c r="BY30" i="15"/>
  <c r="BZ30" i="15" s="1"/>
  <c r="Q30" i="15" s="1"/>
  <c r="R7" i="15"/>
  <c r="CC7" i="15" s="1"/>
  <c r="Q37" i="15"/>
  <c r="BY40" i="15"/>
  <c r="BX40" i="15"/>
  <c r="BW40" i="15"/>
  <c r="BY41" i="15"/>
  <c r="BX41" i="15"/>
  <c r="BW41" i="15"/>
  <c r="CB8" i="12"/>
  <c r="CB17" i="12" s="1"/>
  <c r="BZ40" i="12"/>
  <c r="R45" i="12"/>
  <c r="S4" i="12" s="1"/>
  <c r="T4" i="12" s="1"/>
  <c r="Q43" i="12"/>
  <c r="Q34" i="12"/>
  <c r="R39" i="12"/>
  <c r="CE7" i="12"/>
  <c r="CD8" i="12"/>
  <c r="CE14" i="12"/>
  <c r="BZ41" i="12"/>
  <c r="BZ42" i="12"/>
  <c r="CE6" i="12"/>
  <c r="BX37" i="12"/>
  <c r="BY37" i="12"/>
  <c r="BW37" i="12"/>
  <c r="BZ43" i="22" l="1"/>
  <c r="CI4" i="22"/>
  <c r="CH4" i="22"/>
  <c r="CG4" i="22"/>
  <c r="T4" i="22"/>
  <c r="CE45" i="22"/>
  <c r="BX35" i="22"/>
  <c r="BY35" i="22"/>
  <c r="BW35" i="22"/>
  <c r="BY36" i="22"/>
  <c r="BX36" i="22"/>
  <c r="BW36" i="22"/>
  <c r="CE39" i="22"/>
  <c r="BZ34" i="22"/>
  <c r="CC18" i="22"/>
  <c r="BY33" i="22"/>
  <c r="BW33" i="22"/>
  <c r="BX33" i="22"/>
  <c r="CB30" i="22"/>
  <c r="CI6" i="21"/>
  <c r="CH6" i="21"/>
  <c r="CG6" i="21"/>
  <c r="T6" i="21"/>
  <c r="CD41" i="21"/>
  <c r="CB41" i="21"/>
  <c r="CC41" i="21"/>
  <c r="S8" i="21"/>
  <c r="R37" i="21"/>
  <c r="CE30" i="21"/>
  <c r="CG14" i="21"/>
  <c r="CH14" i="21"/>
  <c r="CI14" i="21"/>
  <c r="T14" i="21"/>
  <c r="CH7" i="21"/>
  <c r="CG7" i="21"/>
  <c r="CI7" i="21"/>
  <c r="T7" i="21"/>
  <c r="CC42" i="21"/>
  <c r="CD42" i="21"/>
  <c r="CB42" i="21"/>
  <c r="CB40" i="21"/>
  <c r="CD40" i="21"/>
  <c r="CC40" i="21"/>
  <c r="CE45" i="20"/>
  <c r="CE39" i="20"/>
  <c r="CC26" i="20"/>
  <c r="CC28" i="20"/>
  <c r="CC27" i="20"/>
  <c r="CC25" i="20"/>
  <c r="CC22" i="20"/>
  <c r="CC21" i="20"/>
  <c r="CC23" i="20"/>
  <c r="CC16" i="20"/>
  <c r="CC24" i="20"/>
  <c r="CD17" i="20"/>
  <c r="CD18" i="20" s="1"/>
  <c r="BY33" i="20"/>
  <c r="BX33" i="20"/>
  <c r="BW33" i="20"/>
  <c r="CI4" i="20"/>
  <c r="CH4" i="20"/>
  <c r="CG4" i="20"/>
  <c r="T4" i="20"/>
  <c r="BY35" i="20"/>
  <c r="BX35" i="20"/>
  <c r="BW35" i="20"/>
  <c r="BZ34" i="20"/>
  <c r="CE17" i="20"/>
  <c r="R17" i="20" s="1"/>
  <c r="BZ43" i="20"/>
  <c r="CB30" i="20"/>
  <c r="BY36" i="20"/>
  <c r="BX36" i="20"/>
  <c r="BW36" i="20"/>
  <c r="BZ47" i="18"/>
  <c r="BW49" i="18"/>
  <c r="CC27" i="18"/>
  <c r="CC23" i="18"/>
  <c r="CC28" i="18"/>
  <c r="CC24" i="18"/>
  <c r="CC25" i="18"/>
  <c r="CC26" i="18"/>
  <c r="CC22" i="18"/>
  <c r="CC21" i="18"/>
  <c r="CC16" i="18"/>
  <c r="CD17" i="18"/>
  <c r="CE17" i="18" s="1"/>
  <c r="R17" i="18" s="1"/>
  <c r="CE41" i="16"/>
  <c r="CE40" i="16"/>
  <c r="CG7" i="16"/>
  <c r="CI7" i="16"/>
  <c r="CH7" i="16"/>
  <c r="T7" i="16"/>
  <c r="CI6" i="16"/>
  <c r="CH6" i="16"/>
  <c r="CG6" i="16"/>
  <c r="T6" i="16"/>
  <c r="R37" i="16"/>
  <c r="CI14" i="16"/>
  <c r="CH14" i="16"/>
  <c r="CG14" i="16"/>
  <c r="CJ14" i="16" s="1"/>
  <c r="T14" i="16"/>
  <c r="CD42" i="16"/>
  <c r="CC42" i="16"/>
  <c r="CB42" i="16"/>
  <c r="S8" i="16"/>
  <c r="CE30" i="16"/>
  <c r="BW42" i="15"/>
  <c r="BX42" i="15"/>
  <c r="CD7" i="15"/>
  <c r="BZ41" i="15"/>
  <c r="R8" i="15"/>
  <c r="CB8" i="15" s="1"/>
  <c r="CC6" i="15"/>
  <c r="CB6" i="15"/>
  <c r="CD14" i="15"/>
  <c r="CB14" i="15"/>
  <c r="CB7" i="15"/>
  <c r="BZ40" i="15"/>
  <c r="R45" i="15"/>
  <c r="Q43" i="15"/>
  <c r="Q34" i="15"/>
  <c r="R39" i="15"/>
  <c r="BW37" i="15"/>
  <c r="BY37" i="15"/>
  <c r="BX37" i="15"/>
  <c r="CE8" i="12"/>
  <c r="Q36" i="12"/>
  <c r="Q35" i="12"/>
  <c r="Q33" i="12"/>
  <c r="CB18" i="12"/>
  <c r="BZ37" i="12"/>
  <c r="BY47" i="22" l="1"/>
  <c r="BY49" i="22" s="1"/>
  <c r="BZ36" i="22"/>
  <c r="CJ4" i="22"/>
  <c r="BX47" i="22"/>
  <c r="BX49" i="22" s="1"/>
  <c r="BW47" i="22"/>
  <c r="BZ33" i="22"/>
  <c r="BZ35" i="22"/>
  <c r="CC28" i="22"/>
  <c r="CC27" i="22"/>
  <c r="CC23" i="22"/>
  <c r="CC22" i="22"/>
  <c r="CC21" i="22"/>
  <c r="CC24" i="22"/>
  <c r="CC26" i="22"/>
  <c r="CC25" i="22"/>
  <c r="CC16" i="22"/>
  <c r="CD17" i="22"/>
  <c r="CE17" i="22" s="1"/>
  <c r="R17" i="22" s="1"/>
  <c r="CJ6" i="21"/>
  <c r="CE40" i="21"/>
  <c r="CE42" i="21"/>
  <c r="CI8" i="21"/>
  <c r="CH8" i="21"/>
  <c r="CG8" i="21"/>
  <c r="T8" i="21"/>
  <c r="CJ14" i="21"/>
  <c r="CE41" i="21"/>
  <c r="R30" i="21"/>
  <c r="CJ7" i="21"/>
  <c r="CD37" i="21"/>
  <c r="CB37" i="21"/>
  <c r="CC37" i="21"/>
  <c r="BZ36" i="20"/>
  <c r="BX47" i="20"/>
  <c r="BX49" i="20" s="1"/>
  <c r="CJ4" i="20"/>
  <c r="BY47" i="20"/>
  <c r="BY49" i="20" s="1"/>
  <c r="CC30" i="20"/>
  <c r="CD26" i="20"/>
  <c r="CE26" i="20" s="1"/>
  <c r="CD23" i="20"/>
  <c r="CE23" i="20" s="1"/>
  <c r="CD28" i="20"/>
  <c r="CE28" i="20" s="1"/>
  <c r="CD24" i="20"/>
  <c r="CE24" i="20" s="1"/>
  <c r="CD27" i="20"/>
  <c r="CE27" i="20" s="1"/>
  <c r="CD25" i="20"/>
  <c r="CE25" i="20" s="1"/>
  <c r="CD22" i="20"/>
  <c r="CE22" i="20" s="1"/>
  <c r="CD21" i="20"/>
  <c r="CD16" i="20"/>
  <c r="CE16" i="20" s="1"/>
  <c r="CE18" i="20"/>
  <c r="R18" i="20" s="1"/>
  <c r="BZ35" i="20"/>
  <c r="BW47" i="20"/>
  <c r="BZ33" i="20"/>
  <c r="CD18" i="18"/>
  <c r="CC30" i="18"/>
  <c r="Q47" i="18"/>
  <c r="BZ49" i="18"/>
  <c r="Q49" i="18" s="1"/>
  <c r="CE42" i="16"/>
  <c r="R30" i="16"/>
  <c r="CD37" i="16"/>
  <c r="CB37" i="16"/>
  <c r="CC37" i="16"/>
  <c r="CJ7" i="16"/>
  <c r="CI8" i="16"/>
  <c r="CH8" i="16"/>
  <c r="CG8" i="16"/>
  <c r="T8" i="16"/>
  <c r="CJ6" i="16"/>
  <c r="BZ42" i="15"/>
  <c r="CE7" i="15"/>
  <c r="CC8" i="15"/>
  <c r="CD8" i="15"/>
  <c r="CE14" i="15"/>
  <c r="CE6" i="15"/>
  <c r="BZ37" i="15"/>
  <c r="CC39" i="15"/>
  <c r="CB39" i="15"/>
  <c r="CD39" i="15"/>
  <c r="Q35" i="15"/>
  <c r="Q33" i="15"/>
  <c r="BY34" i="15"/>
  <c r="Q36" i="15"/>
  <c r="BX34" i="15"/>
  <c r="BW34" i="15"/>
  <c r="CB17" i="15"/>
  <c r="BX43" i="15"/>
  <c r="BW43" i="15"/>
  <c r="BY43" i="15"/>
  <c r="CD45" i="15"/>
  <c r="CC45" i="15"/>
  <c r="CB45" i="15"/>
  <c r="S4" i="15"/>
  <c r="BW34" i="12"/>
  <c r="BY34" i="12"/>
  <c r="BX34" i="12"/>
  <c r="CD45" i="12"/>
  <c r="CC45" i="12"/>
  <c r="CB45" i="12"/>
  <c r="BW43" i="12"/>
  <c r="BX43" i="12"/>
  <c r="BY43" i="12"/>
  <c r="CB28" i="12"/>
  <c r="CB26" i="12"/>
  <c r="CB25" i="12"/>
  <c r="CB23" i="12"/>
  <c r="CB16" i="12"/>
  <c r="CB27" i="12"/>
  <c r="CB22" i="12"/>
  <c r="CB24" i="12"/>
  <c r="CB21" i="12"/>
  <c r="CC17" i="12"/>
  <c r="CC18" i="12" s="1"/>
  <c r="CB39" i="12"/>
  <c r="CD39" i="12"/>
  <c r="CC39" i="12"/>
  <c r="BZ47" i="22" l="1"/>
  <c r="BW49" i="22"/>
  <c r="CD18" i="22"/>
  <c r="CC30" i="22"/>
  <c r="CE37" i="21"/>
  <c r="CG17" i="21"/>
  <c r="CJ8" i="21"/>
  <c r="S45" i="21"/>
  <c r="R43" i="21"/>
  <c r="S39" i="21"/>
  <c r="BZ47" i="20"/>
  <c r="BW49" i="20"/>
  <c r="CD30" i="20"/>
  <c r="CE21" i="20"/>
  <c r="R42" i="20"/>
  <c r="S14" i="20"/>
  <c r="R16" i="20"/>
  <c r="S6" i="20"/>
  <c r="S7" i="20"/>
  <c r="R40" i="18"/>
  <c r="R41" i="18"/>
  <c r="CD28" i="18"/>
  <c r="CE28" i="18" s="1"/>
  <c r="CD27" i="18"/>
  <c r="CE27" i="18" s="1"/>
  <c r="CD23" i="18"/>
  <c r="CE23" i="18" s="1"/>
  <c r="CD25" i="18"/>
  <c r="CE25" i="18" s="1"/>
  <c r="CE18" i="18"/>
  <c r="R18" i="18" s="1"/>
  <c r="CD22" i="18"/>
  <c r="CE22" i="18" s="1"/>
  <c r="CD21" i="18"/>
  <c r="CD26" i="18"/>
  <c r="CE26" i="18" s="1"/>
  <c r="CD24" i="18"/>
  <c r="CE24" i="18" s="1"/>
  <c r="CD16" i="18"/>
  <c r="CE16" i="18" s="1"/>
  <c r="CE37" i="16"/>
  <c r="CG17" i="16"/>
  <c r="CJ8" i="16"/>
  <c r="S39" i="16"/>
  <c r="R43" i="16"/>
  <c r="S45" i="16"/>
  <c r="R34" i="16"/>
  <c r="CE8" i="15"/>
  <c r="CE39" i="15"/>
  <c r="CE45" i="15"/>
  <c r="BY35" i="15"/>
  <c r="BX35" i="15"/>
  <c r="BW35" i="15"/>
  <c r="BY36" i="15"/>
  <c r="BX36" i="15"/>
  <c r="BW36" i="15"/>
  <c r="BZ43" i="15"/>
  <c r="CB18" i="15"/>
  <c r="BZ34" i="15"/>
  <c r="BW33" i="15"/>
  <c r="BY33" i="15"/>
  <c r="BX33" i="15"/>
  <c r="CI4" i="15"/>
  <c r="CH4" i="15"/>
  <c r="CG4" i="15"/>
  <c r="T4" i="15"/>
  <c r="BZ43" i="12"/>
  <c r="CB30" i="12"/>
  <c r="BX33" i="12"/>
  <c r="BW33" i="12"/>
  <c r="BY33" i="12"/>
  <c r="CC28" i="12"/>
  <c r="CC26" i="12"/>
  <c r="CC22" i="12"/>
  <c r="CC21" i="12"/>
  <c r="CC27" i="12"/>
  <c r="CC16" i="12"/>
  <c r="CC24" i="12"/>
  <c r="CC25" i="12"/>
  <c r="CC23" i="12"/>
  <c r="CD17" i="12"/>
  <c r="CE17" i="12" s="1"/>
  <c r="R17" i="12" s="1"/>
  <c r="BY35" i="12"/>
  <c r="BX35" i="12"/>
  <c r="BW35" i="12"/>
  <c r="BW36" i="12"/>
  <c r="BY36" i="12"/>
  <c r="BX36" i="12"/>
  <c r="CE39" i="12"/>
  <c r="CI4" i="12"/>
  <c r="CG4" i="12"/>
  <c r="CH4" i="12"/>
  <c r="CE45" i="12"/>
  <c r="BZ34" i="12"/>
  <c r="CD27" i="22" l="1"/>
  <c r="CE27" i="22" s="1"/>
  <c r="CD26" i="22"/>
  <c r="CE26" i="22" s="1"/>
  <c r="CD22" i="22"/>
  <c r="CE22" i="22" s="1"/>
  <c r="CD21" i="22"/>
  <c r="CD23" i="22"/>
  <c r="CE23" i="22" s="1"/>
  <c r="CD24" i="22"/>
  <c r="CE24" i="22" s="1"/>
  <c r="CD25" i="22"/>
  <c r="CE25" i="22" s="1"/>
  <c r="CD28" i="22"/>
  <c r="CE28" i="22" s="1"/>
  <c r="CD16" i="22"/>
  <c r="CE16" i="22" s="1"/>
  <c r="CE18" i="22"/>
  <c r="R18" i="22" s="1"/>
  <c r="Q47" i="22"/>
  <c r="BZ49" i="22"/>
  <c r="Q49" i="22" s="1"/>
  <c r="CG18" i="21"/>
  <c r="CH39" i="21"/>
  <c r="CG39" i="21"/>
  <c r="CI39" i="21"/>
  <c r="CC43" i="21"/>
  <c r="CC47" i="21" s="1"/>
  <c r="CC49" i="21" s="1"/>
  <c r="CD43" i="21"/>
  <c r="CD47" i="21" s="1"/>
  <c r="CD49" i="21" s="1"/>
  <c r="CB43" i="21"/>
  <c r="CH45" i="21"/>
  <c r="CI45" i="21"/>
  <c r="CG45" i="21"/>
  <c r="Q47" i="20"/>
  <c r="BZ49" i="20"/>
  <c r="Q49" i="20" s="1"/>
  <c r="CG14" i="20"/>
  <c r="CI14" i="20"/>
  <c r="CH14" i="20"/>
  <c r="T14" i="20"/>
  <c r="CH7" i="20"/>
  <c r="CG7" i="20"/>
  <c r="CI7" i="20"/>
  <c r="T7" i="20"/>
  <c r="CE30" i="20"/>
  <c r="CI6" i="20"/>
  <c r="CH6" i="20"/>
  <c r="CG6" i="20"/>
  <c r="T6" i="20"/>
  <c r="CD42" i="20"/>
  <c r="CC42" i="20"/>
  <c r="CB42" i="20"/>
  <c r="S8" i="20"/>
  <c r="R37" i="20"/>
  <c r="CB41" i="18"/>
  <c r="CD41" i="18"/>
  <c r="CC41" i="18"/>
  <c r="R42" i="18"/>
  <c r="S7" i="18"/>
  <c r="S14" i="18"/>
  <c r="R16" i="18"/>
  <c r="S6" i="18"/>
  <c r="CD40" i="18"/>
  <c r="CB40" i="18"/>
  <c r="CC40" i="18"/>
  <c r="CD30" i="18"/>
  <c r="CE21" i="18"/>
  <c r="CD43" i="16"/>
  <c r="CC43" i="16"/>
  <c r="CB43" i="16"/>
  <c r="CG45" i="16"/>
  <c r="CI45" i="16"/>
  <c r="CH45" i="16"/>
  <c r="CH39" i="16"/>
  <c r="CG39" i="16"/>
  <c r="CI39" i="16"/>
  <c r="CG18" i="16"/>
  <c r="R35" i="16"/>
  <c r="CD34" i="16"/>
  <c r="CC34" i="16"/>
  <c r="CB34" i="16"/>
  <c r="CE34" i="16" s="1"/>
  <c r="R33" i="16"/>
  <c r="R36" i="16"/>
  <c r="BZ36" i="15"/>
  <c r="BZ35" i="15"/>
  <c r="BY47" i="15"/>
  <c r="BY49" i="15" s="1"/>
  <c r="BW47" i="15"/>
  <c r="BZ33" i="15"/>
  <c r="CB26" i="15"/>
  <c r="CB28" i="15"/>
  <c r="CB27" i="15"/>
  <c r="CB16" i="15"/>
  <c r="CB25" i="15"/>
  <c r="CB22" i="15"/>
  <c r="CB23" i="15"/>
  <c r="CB21" i="15"/>
  <c r="CB24" i="15"/>
  <c r="CC17" i="15"/>
  <c r="CC18" i="15" s="1"/>
  <c r="BX47" i="15"/>
  <c r="BX49" i="15" s="1"/>
  <c r="CJ4" i="15"/>
  <c r="BY47" i="12"/>
  <c r="BY49" i="12" s="1"/>
  <c r="BZ35" i="12"/>
  <c r="CJ4" i="12"/>
  <c r="CD18" i="12"/>
  <c r="BW47" i="12"/>
  <c r="BZ33" i="12"/>
  <c r="BX47" i="12"/>
  <c r="BX49" i="12" s="1"/>
  <c r="CC30" i="12"/>
  <c r="BZ36" i="12"/>
  <c r="R41" i="22" l="1"/>
  <c r="R40" i="22"/>
  <c r="CD30" i="22"/>
  <c r="CE21" i="22"/>
  <c r="R42" i="22"/>
  <c r="S14" i="22"/>
  <c r="R16" i="22"/>
  <c r="S6" i="22"/>
  <c r="S7" i="22"/>
  <c r="CJ45" i="21"/>
  <c r="T45" i="21" s="1"/>
  <c r="CE43" i="21"/>
  <c r="CB47" i="21"/>
  <c r="CJ39" i="21"/>
  <c r="T39" i="21" s="1"/>
  <c r="CG26" i="21"/>
  <c r="CG22" i="21"/>
  <c r="CG21" i="21"/>
  <c r="CG28" i="21"/>
  <c r="CG23" i="21"/>
  <c r="CG24" i="21"/>
  <c r="CG27" i="21"/>
  <c r="CG25" i="21"/>
  <c r="CG16" i="21"/>
  <c r="CH17" i="21"/>
  <c r="CJ7" i="20"/>
  <c r="CJ6" i="20"/>
  <c r="CE42" i="20"/>
  <c r="CD37" i="20"/>
  <c r="CC37" i="20"/>
  <c r="CB37" i="20"/>
  <c r="CJ14" i="20"/>
  <c r="CI8" i="20"/>
  <c r="CH8" i="20"/>
  <c r="CG8" i="20"/>
  <c r="T8" i="20"/>
  <c r="R40" i="20"/>
  <c r="R41" i="20"/>
  <c r="R30" i="20"/>
  <c r="CE40" i="18"/>
  <c r="CH6" i="18"/>
  <c r="CI6" i="18"/>
  <c r="CG6" i="18"/>
  <c r="T6" i="18"/>
  <c r="CD42" i="18"/>
  <c r="CC42" i="18"/>
  <c r="CB42" i="18"/>
  <c r="R37" i="18"/>
  <c r="CE30" i="18"/>
  <c r="S8" i="18"/>
  <c r="CG7" i="18"/>
  <c r="CH7" i="18"/>
  <c r="CI7" i="18"/>
  <c r="T7" i="18"/>
  <c r="CE41" i="18"/>
  <c r="CI14" i="18"/>
  <c r="CG14" i="18"/>
  <c r="CH14" i="18"/>
  <c r="T14" i="18"/>
  <c r="CJ39" i="16"/>
  <c r="T39" i="16" s="1"/>
  <c r="CE43" i="16"/>
  <c r="CD33" i="16"/>
  <c r="CC33" i="16"/>
  <c r="CB33" i="16"/>
  <c r="CG28" i="16"/>
  <c r="CG27" i="16"/>
  <c r="CG25" i="16"/>
  <c r="CG26" i="16"/>
  <c r="CG22" i="16"/>
  <c r="CG21" i="16"/>
  <c r="CG23" i="16"/>
  <c r="CG24" i="16"/>
  <c r="CG16" i="16"/>
  <c r="CH17" i="16"/>
  <c r="CD35" i="16"/>
  <c r="CC35" i="16"/>
  <c r="CB35" i="16"/>
  <c r="CJ45" i="16"/>
  <c r="T45" i="16" s="1"/>
  <c r="CD36" i="16"/>
  <c r="CC36" i="16"/>
  <c r="CB36" i="16"/>
  <c r="CE36" i="16" s="1"/>
  <c r="CC28" i="15"/>
  <c r="CC27" i="15"/>
  <c r="CC25" i="15"/>
  <c r="CC22" i="15"/>
  <c r="CC23" i="15"/>
  <c r="CC21" i="15"/>
  <c r="CC24" i="15"/>
  <c r="CC26" i="15"/>
  <c r="CC16" i="15"/>
  <c r="CD17" i="15"/>
  <c r="CE17" i="15" s="1"/>
  <c r="R17" i="15" s="1"/>
  <c r="CB30" i="15"/>
  <c r="BZ47" i="15"/>
  <c r="BW49" i="15"/>
  <c r="CD27" i="12"/>
  <c r="CE27" i="12" s="1"/>
  <c r="CD28" i="12"/>
  <c r="CE28" i="12" s="1"/>
  <c r="CD16" i="12"/>
  <c r="CE16" i="12" s="1"/>
  <c r="CD26" i="12"/>
  <c r="CE26" i="12" s="1"/>
  <c r="CD24" i="12"/>
  <c r="CE24" i="12" s="1"/>
  <c r="CD22" i="12"/>
  <c r="CE22" i="12" s="1"/>
  <c r="CD21" i="12"/>
  <c r="CE18" i="12"/>
  <c r="R18" i="12" s="1"/>
  <c r="CD23" i="12"/>
  <c r="CE23" i="12" s="1"/>
  <c r="CD25" i="12"/>
  <c r="CE25" i="12" s="1"/>
  <c r="BZ47" i="12"/>
  <c r="Q47" i="12" s="1"/>
  <c r="BW49" i="12"/>
  <c r="CC42" i="22" l="1"/>
  <c r="CB42" i="22"/>
  <c r="CD42" i="22"/>
  <c r="CI7" i="22"/>
  <c r="CH7" i="22"/>
  <c r="CG7" i="22"/>
  <c r="CJ7" i="22" s="1"/>
  <c r="T7" i="22"/>
  <c r="CI6" i="22"/>
  <c r="CH6" i="22"/>
  <c r="CG6" i="22"/>
  <c r="T6" i="22"/>
  <c r="CE30" i="22"/>
  <c r="S8" i="22"/>
  <c r="CC40" i="22"/>
  <c r="CB40" i="22"/>
  <c r="CD40" i="22"/>
  <c r="CD41" i="22"/>
  <c r="CC41" i="22"/>
  <c r="CB41" i="22"/>
  <c r="R37" i="22"/>
  <c r="CG14" i="22"/>
  <c r="CI14" i="22"/>
  <c r="CH14" i="22"/>
  <c r="T14" i="22"/>
  <c r="CG30" i="21"/>
  <c r="CE47" i="21"/>
  <c r="CB49" i="21"/>
  <c r="CH18" i="21"/>
  <c r="CE37" i="20"/>
  <c r="CG17" i="20"/>
  <c r="CJ8" i="20"/>
  <c r="CB41" i="20"/>
  <c r="CD41" i="20"/>
  <c r="CC41" i="20"/>
  <c r="CD40" i="20"/>
  <c r="CC40" i="20"/>
  <c r="CB40" i="20"/>
  <c r="S39" i="20"/>
  <c r="S45" i="20"/>
  <c r="R43" i="20"/>
  <c r="CE42" i="18"/>
  <c r="CJ6" i="18"/>
  <c r="CJ14" i="18"/>
  <c r="R30" i="18"/>
  <c r="CI8" i="18"/>
  <c r="CH8" i="18"/>
  <c r="CG8" i="18"/>
  <c r="T8" i="18"/>
  <c r="CJ7" i="18"/>
  <c r="CD37" i="18"/>
  <c r="CC37" i="18"/>
  <c r="CB37" i="18"/>
  <c r="CE35" i="16"/>
  <c r="CD18" i="15"/>
  <c r="CD26" i="15" s="1"/>
  <c r="CE26" i="15" s="1"/>
  <c r="CB47" i="16"/>
  <c r="CE33" i="16"/>
  <c r="CG30" i="16"/>
  <c r="CD47" i="16"/>
  <c r="CD49" i="16" s="1"/>
  <c r="CC47" i="16"/>
  <c r="CC49" i="16" s="1"/>
  <c r="CH18" i="16"/>
  <c r="Q47" i="15"/>
  <c r="BZ49" i="15"/>
  <c r="Q49" i="15" s="1"/>
  <c r="CC30" i="15"/>
  <c r="R42" i="12"/>
  <c r="R16" i="12"/>
  <c r="S14" i="12"/>
  <c r="T14" i="12" s="1"/>
  <c r="S6" i="12"/>
  <c r="T6" i="12" s="1"/>
  <c r="S7" i="12"/>
  <c r="T7" i="12" s="1"/>
  <c r="BZ49" i="12"/>
  <c r="Q49" i="12" s="1"/>
  <c r="CD30" i="12"/>
  <c r="CE21" i="12"/>
  <c r="CE41" i="22" l="1"/>
  <c r="CE40" i="22"/>
  <c r="CJ14" i="22"/>
  <c r="CD37" i="22"/>
  <c r="CC37" i="22"/>
  <c r="CB37" i="22"/>
  <c r="R30" i="22"/>
  <c r="CJ6" i="22"/>
  <c r="CE42" i="22"/>
  <c r="CI8" i="22"/>
  <c r="CH8" i="22"/>
  <c r="CG8" i="22"/>
  <c r="T8" i="22"/>
  <c r="CH26" i="21"/>
  <c r="CH22" i="21"/>
  <c r="CH21" i="21"/>
  <c r="CH24" i="21"/>
  <c r="CH28" i="21"/>
  <c r="CH16" i="21"/>
  <c r="CH23" i="21"/>
  <c r="CH25" i="21"/>
  <c r="CH27" i="21"/>
  <c r="CI17" i="21"/>
  <c r="CJ17" i="21" s="1"/>
  <c r="S17" i="21" s="1"/>
  <c r="R47" i="21"/>
  <c r="CE49" i="21"/>
  <c r="R49" i="21" s="1"/>
  <c r="CE40" i="20"/>
  <c r="R35" i="20"/>
  <c r="CD34" i="20"/>
  <c r="CC34" i="20"/>
  <c r="CB34" i="20"/>
  <c r="R33" i="20"/>
  <c r="R36" i="20"/>
  <c r="CD43" i="20"/>
  <c r="CC43" i="20"/>
  <c r="CB43" i="20"/>
  <c r="CG45" i="20"/>
  <c r="CI45" i="20"/>
  <c r="CH45" i="20"/>
  <c r="CE41" i="20"/>
  <c r="CG18" i="20"/>
  <c r="CI39" i="20"/>
  <c r="CH39" i="20"/>
  <c r="CG39" i="20"/>
  <c r="CE37" i="18"/>
  <c r="CG17" i="18"/>
  <c r="CJ8" i="18"/>
  <c r="S39" i="18"/>
  <c r="R43" i="18"/>
  <c r="S45" i="18"/>
  <c r="R34" i="18"/>
  <c r="CD16" i="15"/>
  <c r="CE16" i="15" s="1"/>
  <c r="CD27" i="15"/>
  <c r="CE27" i="15" s="1"/>
  <c r="CD28" i="15"/>
  <c r="CE28" i="15" s="1"/>
  <c r="CE18" i="15"/>
  <c r="R18" i="15" s="1"/>
  <c r="S6" i="15" s="1"/>
  <c r="CD21" i="15"/>
  <c r="CE21" i="15" s="1"/>
  <c r="R37" i="15" s="1"/>
  <c r="CD25" i="15"/>
  <c r="CE25" i="15" s="1"/>
  <c r="CD24" i="15"/>
  <c r="CE24" i="15" s="1"/>
  <c r="CD23" i="15"/>
  <c r="CE23" i="15" s="1"/>
  <c r="CD22" i="15"/>
  <c r="CE22" i="15" s="1"/>
  <c r="CH28" i="16"/>
  <c r="CH27" i="16"/>
  <c r="CH26" i="16"/>
  <c r="CH25" i="16"/>
  <c r="CH22" i="16"/>
  <c r="CH21" i="16"/>
  <c r="CH23" i="16"/>
  <c r="CH24" i="16"/>
  <c r="CH16" i="16"/>
  <c r="CI17" i="16"/>
  <c r="CJ17" i="16" s="1"/>
  <c r="S17" i="16" s="1"/>
  <c r="CE47" i="16"/>
  <c r="CB49" i="16"/>
  <c r="R42" i="15"/>
  <c r="R16" i="15"/>
  <c r="R40" i="15"/>
  <c r="R41" i="15"/>
  <c r="R41" i="12"/>
  <c r="R40" i="12"/>
  <c r="S8" i="12"/>
  <c r="T8" i="12" s="1"/>
  <c r="R37" i="12"/>
  <c r="CE30" i="12"/>
  <c r="R30" i="12" s="1"/>
  <c r="CD42" i="12"/>
  <c r="CC42" i="12"/>
  <c r="CB42" i="12"/>
  <c r="CH7" i="12"/>
  <c r="CG7" i="12"/>
  <c r="CI7" i="12"/>
  <c r="CG14" i="12"/>
  <c r="CI14" i="12"/>
  <c r="CH14" i="12"/>
  <c r="CI6" i="12"/>
  <c r="CG6" i="12"/>
  <c r="CH6" i="12"/>
  <c r="CE37" i="22" l="1"/>
  <c r="S45" i="22"/>
  <c r="R43" i="22"/>
  <c r="R34" i="22"/>
  <c r="S39" i="22"/>
  <c r="CG17" i="22"/>
  <c r="CJ8" i="22"/>
  <c r="CI18" i="21"/>
  <c r="CI26" i="21" s="1"/>
  <c r="CJ26" i="21" s="1"/>
  <c r="T26" i="21" s="1"/>
  <c r="S40" i="21"/>
  <c r="S41" i="21"/>
  <c r="CH30" i="21"/>
  <c r="CJ39" i="20"/>
  <c r="T39" i="20" s="1"/>
  <c r="CE34" i="20"/>
  <c r="CD33" i="20"/>
  <c r="CC33" i="20"/>
  <c r="CB33" i="20"/>
  <c r="CJ45" i="20"/>
  <c r="T45" i="20" s="1"/>
  <c r="CB36" i="20"/>
  <c r="CD36" i="20"/>
  <c r="CC36" i="20"/>
  <c r="CG28" i="20"/>
  <c r="CG24" i="20"/>
  <c r="CG27" i="20"/>
  <c r="CG25" i="20"/>
  <c r="CG26" i="20"/>
  <c r="CG23" i="20"/>
  <c r="CG16" i="20"/>
  <c r="CG22" i="20"/>
  <c r="CG21" i="20"/>
  <c r="CH17" i="20"/>
  <c r="CH18" i="20" s="1"/>
  <c r="CE43" i="20"/>
  <c r="CD35" i="20"/>
  <c r="CC35" i="20"/>
  <c r="CB35" i="20"/>
  <c r="CD43" i="18"/>
  <c r="CC43" i="18"/>
  <c r="CB43" i="18"/>
  <c r="CG45" i="18"/>
  <c r="CI45" i="18"/>
  <c r="CH45" i="18"/>
  <c r="CH39" i="18"/>
  <c r="CG39" i="18"/>
  <c r="CI39" i="18"/>
  <c r="R36" i="18"/>
  <c r="CD34" i="18"/>
  <c r="CC34" i="18"/>
  <c r="R33" i="18"/>
  <c r="CB34" i="18"/>
  <c r="R35" i="18"/>
  <c r="CG18" i="18"/>
  <c r="CI18" i="16"/>
  <c r="CI23" i="16" s="1"/>
  <c r="CJ23" i="16" s="1"/>
  <c r="T23" i="16" s="1"/>
  <c r="S14" i="15"/>
  <c r="T14" i="15" s="1"/>
  <c r="D4" i="14" s="1"/>
  <c r="S7" i="15"/>
  <c r="S8" i="15" s="1"/>
  <c r="CH8" i="15" s="1"/>
  <c r="CD30" i="15"/>
  <c r="CE30" i="15" s="1"/>
  <c r="R30" i="15" s="1"/>
  <c r="CH30" i="16"/>
  <c r="R47" i="16"/>
  <c r="CE49" i="16"/>
  <c r="R49" i="16" s="1"/>
  <c r="CB41" i="15"/>
  <c r="CD41" i="15"/>
  <c r="CC41" i="15"/>
  <c r="CD40" i="15"/>
  <c r="CB40" i="15"/>
  <c r="CC40" i="15"/>
  <c r="CI14" i="15"/>
  <c r="CH14" i="15"/>
  <c r="CG14" i="15"/>
  <c r="CC37" i="15"/>
  <c r="CB37" i="15"/>
  <c r="CD37" i="15"/>
  <c r="CD42" i="15"/>
  <c r="CC42" i="15"/>
  <c r="CB42" i="15"/>
  <c r="CH6" i="15"/>
  <c r="CG6" i="15"/>
  <c r="CI6" i="15"/>
  <c r="T6" i="15"/>
  <c r="R43" i="12"/>
  <c r="R34" i="12"/>
  <c r="S39" i="12"/>
  <c r="S45" i="12"/>
  <c r="CJ6" i="12"/>
  <c r="CJ7" i="12"/>
  <c r="CC37" i="12"/>
  <c r="CD37" i="12"/>
  <c r="CB37" i="12"/>
  <c r="CB41" i="12"/>
  <c r="CC41" i="12"/>
  <c r="CD41" i="12"/>
  <c r="CE42" i="12"/>
  <c r="CI8" i="12"/>
  <c r="CH8" i="12"/>
  <c r="CG8" i="12"/>
  <c r="CJ14" i="12"/>
  <c r="CD40" i="12"/>
  <c r="CB40" i="12"/>
  <c r="CC40" i="12"/>
  <c r="CI39" i="22" l="1"/>
  <c r="CH39" i="22"/>
  <c r="CG39" i="22"/>
  <c r="CD34" i="22"/>
  <c r="R35" i="22"/>
  <c r="CB34" i="22"/>
  <c r="R36" i="22"/>
  <c r="R33" i="22"/>
  <c r="CC34" i="22"/>
  <c r="CG18" i="22"/>
  <c r="CD43" i="22"/>
  <c r="CB43" i="22"/>
  <c r="CC43" i="22"/>
  <c r="CI45" i="22"/>
  <c r="CH45" i="22"/>
  <c r="CG45" i="22"/>
  <c r="CI22" i="21"/>
  <c r="CJ22" i="21" s="1"/>
  <c r="T22" i="21" s="1"/>
  <c r="CI21" i="21"/>
  <c r="CJ21" i="21" s="1"/>
  <c r="CI25" i="21"/>
  <c r="CJ25" i="21" s="1"/>
  <c r="T25" i="21" s="1"/>
  <c r="CI27" i="21"/>
  <c r="CJ27" i="21" s="1"/>
  <c r="T27" i="21" s="1"/>
  <c r="CI24" i="21"/>
  <c r="CJ24" i="21" s="1"/>
  <c r="T24" i="21" s="1"/>
  <c r="T18" i="21"/>
  <c r="T16" i="21" s="1"/>
  <c r="CJ18" i="21"/>
  <c r="S18" i="21" s="1"/>
  <c r="S42" i="21" s="1"/>
  <c r="CI23" i="21"/>
  <c r="CJ23" i="21" s="1"/>
  <c r="T23" i="21" s="1"/>
  <c r="CI16" i="21"/>
  <c r="CJ16" i="21" s="1"/>
  <c r="CI28" i="21"/>
  <c r="CJ28" i="21" s="1"/>
  <c r="T28" i="21" s="1"/>
  <c r="S37" i="21"/>
  <c r="T21" i="21"/>
  <c r="CI41" i="21"/>
  <c r="CG41" i="21"/>
  <c r="CH41" i="21"/>
  <c r="CI40" i="21"/>
  <c r="CG40" i="21"/>
  <c r="CH40" i="21"/>
  <c r="CE35" i="20"/>
  <c r="CE36" i="20"/>
  <c r="CB47" i="20"/>
  <c r="CE33" i="20"/>
  <c r="CG30" i="20"/>
  <c r="CC47" i="20"/>
  <c r="CC49" i="20" s="1"/>
  <c r="CH28" i="20"/>
  <c r="CH24" i="20"/>
  <c r="CH27" i="20"/>
  <c r="CH25" i="20"/>
  <c r="CH26" i="20"/>
  <c r="CH23" i="20"/>
  <c r="CH16" i="20"/>
  <c r="CH22" i="20"/>
  <c r="CH21" i="20"/>
  <c r="CI17" i="20"/>
  <c r="CJ17" i="20" s="1"/>
  <c r="S17" i="20" s="1"/>
  <c r="CD47" i="20"/>
  <c r="CD49" i="20" s="1"/>
  <c r="CE34" i="18"/>
  <c r="CJ39" i="18"/>
  <c r="T39" i="18" s="1"/>
  <c r="CE43" i="18"/>
  <c r="CD33" i="18"/>
  <c r="CB33" i="18"/>
  <c r="CC33" i="18"/>
  <c r="CJ45" i="18"/>
  <c r="T45" i="18" s="1"/>
  <c r="CC36" i="18"/>
  <c r="CB36" i="18"/>
  <c r="CD36" i="18"/>
  <c r="CC35" i="18"/>
  <c r="CB35" i="18"/>
  <c r="CD35" i="18"/>
  <c r="CG28" i="18"/>
  <c r="CG27" i="18"/>
  <c r="CG24" i="18"/>
  <c r="CG16" i="18"/>
  <c r="CG26" i="18"/>
  <c r="CG22" i="18"/>
  <c r="CG21" i="18"/>
  <c r="CG25" i="18"/>
  <c r="CG23" i="18"/>
  <c r="CH17" i="18"/>
  <c r="CI28" i="16"/>
  <c r="CJ28" i="16" s="1"/>
  <c r="T28" i="16" s="1"/>
  <c r="CI22" i="16"/>
  <c r="CJ22" i="16" s="1"/>
  <c r="T22" i="16" s="1"/>
  <c r="CI26" i="16"/>
  <c r="CJ26" i="16" s="1"/>
  <c r="T26" i="16" s="1"/>
  <c r="CI25" i="16"/>
  <c r="CJ25" i="16" s="1"/>
  <c r="T25" i="16" s="1"/>
  <c r="CJ18" i="16"/>
  <c r="S18" i="16" s="1"/>
  <c r="S16" i="16" s="1"/>
  <c r="CI27" i="16"/>
  <c r="CJ27" i="16" s="1"/>
  <c r="T27" i="16" s="1"/>
  <c r="CI16" i="16"/>
  <c r="CJ16" i="16" s="1"/>
  <c r="CI24" i="16"/>
  <c r="CJ24" i="16" s="1"/>
  <c r="T24" i="16" s="1"/>
  <c r="CI21" i="16"/>
  <c r="CJ21" i="16" s="1"/>
  <c r="T18" i="16"/>
  <c r="V14" i="16" s="1"/>
  <c r="T7" i="15"/>
  <c r="CG7" i="15"/>
  <c r="CI7" i="15"/>
  <c r="CH7" i="15"/>
  <c r="T17" i="16"/>
  <c r="T16" i="16"/>
  <c r="S40" i="16"/>
  <c r="S41" i="16"/>
  <c r="CI8" i="15"/>
  <c r="T8" i="15"/>
  <c r="D3" i="14" s="1"/>
  <c r="CG8" i="15"/>
  <c r="CG17" i="15" s="1"/>
  <c r="CJ14" i="15"/>
  <c r="CJ6" i="15"/>
  <c r="CE40" i="15"/>
  <c r="CE42" i="15"/>
  <c r="S45" i="15"/>
  <c r="R43" i="15"/>
  <c r="R34" i="15"/>
  <c r="S39" i="15"/>
  <c r="CE37" i="15"/>
  <c r="CE41" i="15"/>
  <c r="R35" i="12"/>
  <c r="R33" i="12"/>
  <c r="R36" i="12"/>
  <c r="CE37" i="12"/>
  <c r="CG17" i="12"/>
  <c r="CJ8" i="12"/>
  <c r="CE41" i="12"/>
  <c r="CE40" i="12"/>
  <c r="CE34" i="22" l="1"/>
  <c r="CJ39" i="22"/>
  <c r="T39" i="22" s="1"/>
  <c r="CC35" i="22"/>
  <c r="CB35" i="22"/>
  <c r="CD35" i="22"/>
  <c r="CD36" i="22"/>
  <c r="CB36" i="22"/>
  <c r="CC36" i="22"/>
  <c r="CE43" i="22"/>
  <c r="CG26" i="22"/>
  <c r="CG28" i="22"/>
  <c r="CG23" i="22"/>
  <c r="CG24" i="22"/>
  <c r="CG25" i="22"/>
  <c r="CG27" i="22"/>
  <c r="CG22" i="22"/>
  <c r="CG21" i="22"/>
  <c r="CG16" i="22"/>
  <c r="CH17" i="22"/>
  <c r="CB33" i="22"/>
  <c r="CD33" i="22"/>
  <c r="CC33" i="22"/>
  <c r="CJ45" i="22"/>
  <c r="T45" i="22" s="1"/>
  <c r="V14" i="21"/>
  <c r="T17" i="21"/>
  <c r="V6" i="21"/>
  <c r="V7" i="21"/>
  <c r="S16" i="21"/>
  <c r="CI30" i="21"/>
  <c r="CJ30" i="21" s="1"/>
  <c r="CJ41" i="21"/>
  <c r="T41" i="21" s="1"/>
  <c r="S30" i="21"/>
  <c r="CG37" i="21"/>
  <c r="CI37" i="21"/>
  <c r="CH37" i="21"/>
  <c r="CH42" i="21"/>
  <c r="CI42" i="21"/>
  <c r="CG42" i="21"/>
  <c r="CJ40" i="21"/>
  <c r="T40" i="21" s="1"/>
  <c r="CH30" i="20"/>
  <c r="CI18" i="20"/>
  <c r="CI24" i="20" s="1"/>
  <c r="CJ24" i="20" s="1"/>
  <c r="T24" i="20" s="1"/>
  <c r="CE47" i="20"/>
  <c r="CB49" i="20"/>
  <c r="CE36" i="18"/>
  <c r="CG30" i="18"/>
  <c r="CE35" i="18"/>
  <c r="CC47" i="18"/>
  <c r="CC49" i="18" s="1"/>
  <c r="CB47" i="18"/>
  <c r="CE33" i="18"/>
  <c r="CH18" i="18"/>
  <c r="CD47" i="18"/>
  <c r="CD49" i="18" s="1"/>
  <c r="V7" i="16"/>
  <c r="S42" i="16"/>
  <c r="CH42" i="16" s="1"/>
  <c r="V6" i="16"/>
  <c r="CI30" i="16"/>
  <c r="CJ30" i="16" s="1"/>
  <c r="S30" i="16" s="1"/>
  <c r="CJ7" i="15"/>
  <c r="CI40" i="16"/>
  <c r="CG40" i="16"/>
  <c r="CH40" i="16"/>
  <c r="S37" i="16"/>
  <c r="T21" i="16"/>
  <c r="CI41" i="16"/>
  <c r="CH41" i="16"/>
  <c r="CG41" i="16"/>
  <c r="CJ8" i="15"/>
  <c r="CI39" i="15"/>
  <c r="CH39" i="15"/>
  <c r="CG39" i="15"/>
  <c r="CD34" i="15"/>
  <c r="CC34" i="15"/>
  <c r="CB34" i="15"/>
  <c r="R33" i="15"/>
  <c r="R36" i="15"/>
  <c r="R35" i="15"/>
  <c r="CG18" i="15"/>
  <c r="CD43" i="15"/>
  <c r="CC43" i="15"/>
  <c r="CB43" i="15"/>
  <c r="CG45" i="15"/>
  <c r="CI45" i="15"/>
  <c r="CH45" i="15"/>
  <c r="CB34" i="12"/>
  <c r="CD34" i="12"/>
  <c r="CC34" i="12"/>
  <c r="CC43" i="12"/>
  <c r="CB43" i="12"/>
  <c r="CD43" i="12"/>
  <c r="CG45" i="12"/>
  <c r="CI45" i="12"/>
  <c r="CH45" i="12"/>
  <c r="CG18" i="12"/>
  <c r="CG39" i="12"/>
  <c r="CI39" i="12"/>
  <c r="CH39" i="12"/>
  <c r="CD47" i="22" l="1"/>
  <c r="CD49" i="22" s="1"/>
  <c r="CE36" i="22"/>
  <c r="CG30" i="22"/>
  <c r="CB47" i="22"/>
  <c r="CE33" i="22"/>
  <c r="CE35" i="22"/>
  <c r="CC47" i="22"/>
  <c r="CC49" i="22" s="1"/>
  <c r="CH18" i="22"/>
  <c r="V45" i="21"/>
  <c r="V4" i="21" s="1"/>
  <c r="V8" i="21" s="1"/>
  <c r="V17" i="21" s="1"/>
  <c r="V18" i="21" s="1"/>
  <c r="S43" i="21"/>
  <c r="T30" i="21"/>
  <c r="CJ37" i="21"/>
  <c r="T37" i="21" s="1"/>
  <c r="CJ42" i="21"/>
  <c r="T42" i="21" s="1"/>
  <c r="CI25" i="20"/>
  <c r="CJ25" i="20" s="1"/>
  <c r="T25" i="20" s="1"/>
  <c r="CI27" i="20"/>
  <c r="CJ27" i="20" s="1"/>
  <c r="T27" i="20" s="1"/>
  <c r="CI16" i="20"/>
  <c r="CJ16" i="20" s="1"/>
  <c r="CI23" i="20"/>
  <c r="CJ23" i="20" s="1"/>
  <c r="T23" i="20" s="1"/>
  <c r="CI22" i="20"/>
  <c r="CJ22" i="20" s="1"/>
  <c r="T22" i="20" s="1"/>
  <c r="CI26" i="20"/>
  <c r="CJ26" i="20" s="1"/>
  <c r="T26" i="20" s="1"/>
  <c r="T18" i="20"/>
  <c r="T16" i="20" s="1"/>
  <c r="CI28" i="20"/>
  <c r="CJ28" i="20" s="1"/>
  <c r="T28" i="20" s="1"/>
  <c r="CJ18" i="20"/>
  <c r="S18" i="20" s="1"/>
  <c r="S42" i="20" s="1"/>
  <c r="CI21" i="20"/>
  <c r="CJ21" i="20" s="1"/>
  <c r="S37" i="20" s="1"/>
  <c r="R47" i="20"/>
  <c r="CE49" i="20"/>
  <c r="R49" i="20" s="1"/>
  <c r="CE47" i="18"/>
  <c r="CB49" i="18"/>
  <c r="CH27" i="18"/>
  <c r="CH25" i="18"/>
  <c r="CH26" i="18"/>
  <c r="CH22" i="18"/>
  <c r="CH21" i="18"/>
  <c r="CH23" i="18"/>
  <c r="CH24" i="18"/>
  <c r="CH16" i="18"/>
  <c r="CH28" i="18"/>
  <c r="CI17" i="18"/>
  <c r="CJ17" i="18" s="1"/>
  <c r="S17" i="18" s="1"/>
  <c r="CG42" i="16"/>
  <c r="CI42" i="16"/>
  <c r="CJ42" i="16"/>
  <c r="T42" i="16" s="1"/>
  <c r="CJ41" i="16"/>
  <c r="T41" i="16" s="1"/>
  <c r="S43" i="16"/>
  <c r="V45" i="16"/>
  <c r="V4" i="16" s="1"/>
  <c r="V8" i="16" s="1"/>
  <c r="V17" i="16" s="1"/>
  <c r="V18" i="16" s="1"/>
  <c r="S34" i="16"/>
  <c r="T30" i="16"/>
  <c r="CJ40" i="16"/>
  <c r="T40" i="16" s="1"/>
  <c r="CI37" i="16"/>
  <c r="CG37" i="16"/>
  <c r="CH37" i="16"/>
  <c r="CJ39" i="15"/>
  <c r="T39" i="15" s="1"/>
  <c r="CC35" i="15"/>
  <c r="CB35" i="15"/>
  <c r="CD35" i="15"/>
  <c r="CD36" i="15"/>
  <c r="CC36" i="15"/>
  <c r="CB36" i="15"/>
  <c r="CG28" i="15"/>
  <c r="CG27" i="15"/>
  <c r="CG26" i="15"/>
  <c r="CG24" i="15"/>
  <c r="CG25" i="15"/>
  <c r="CG22" i="15"/>
  <c r="CG23" i="15"/>
  <c r="CG21" i="15"/>
  <c r="CG16" i="15"/>
  <c r="CH17" i="15"/>
  <c r="CH18" i="15" s="1"/>
  <c r="CD33" i="15"/>
  <c r="CC33" i="15"/>
  <c r="CB33" i="15"/>
  <c r="CJ45" i="15"/>
  <c r="T45" i="15" s="1"/>
  <c r="D15" i="14" s="1"/>
  <c r="CE43" i="15"/>
  <c r="CE34" i="15"/>
  <c r="CE43" i="12"/>
  <c r="CD35" i="12"/>
  <c r="CB35" i="12"/>
  <c r="CC35" i="12"/>
  <c r="CJ45" i="12"/>
  <c r="T45" i="12" s="1"/>
  <c r="CC33" i="12"/>
  <c r="CD33" i="12"/>
  <c r="CB33" i="12"/>
  <c r="CE34" i="12"/>
  <c r="CJ39" i="12"/>
  <c r="T39" i="12" s="1"/>
  <c r="CC36" i="12"/>
  <c r="CB36" i="12"/>
  <c r="CD36" i="12"/>
  <c r="CG24" i="12"/>
  <c r="CG28" i="12"/>
  <c r="CG27" i="12"/>
  <c r="CG25" i="12"/>
  <c r="CG22" i="12"/>
  <c r="CG21" i="12"/>
  <c r="CG23" i="12"/>
  <c r="CG16" i="12"/>
  <c r="CG26" i="12"/>
  <c r="CH17" i="12"/>
  <c r="CH27" i="22" l="1"/>
  <c r="CH25" i="22"/>
  <c r="CH28" i="22"/>
  <c r="CH24" i="22"/>
  <c r="CH16" i="22"/>
  <c r="CH26" i="22"/>
  <c r="CH23" i="22"/>
  <c r="CH22" i="22"/>
  <c r="CH21" i="22"/>
  <c r="CI17" i="22"/>
  <c r="CJ17" i="22" s="1"/>
  <c r="S17" i="22" s="1"/>
  <c r="CE47" i="22"/>
  <c r="CB49" i="22"/>
  <c r="V42" i="21"/>
  <c r="V37" i="21"/>
  <c r="V16" i="21"/>
  <c r="W14" i="21"/>
  <c r="W6" i="21"/>
  <c r="W7" i="21"/>
  <c r="V30" i="21"/>
  <c r="CH43" i="21"/>
  <c r="CH47" i="21" s="1"/>
  <c r="CH49" i="21" s="1"/>
  <c r="CG43" i="21"/>
  <c r="CI43" i="21"/>
  <c r="CI47" i="21" s="1"/>
  <c r="CI49" i="21" s="1"/>
  <c r="T17" i="20"/>
  <c r="V6" i="20"/>
  <c r="V7" i="20"/>
  <c r="S16" i="20"/>
  <c r="V14" i="20"/>
  <c r="T21" i="20"/>
  <c r="CI30" i="20"/>
  <c r="CJ30" i="20" s="1"/>
  <c r="CH42" i="20"/>
  <c r="CG42" i="20"/>
  <c r="CI42" i="20"/>
  <c r="S41" i="20"/>
  <c r="S40" i="20"/>
  <c r="CI37" i="20"/>
  <c r="CG37" i="20"/>
  <c r="CH37" i="20"/>
  <c r="CI18" i="18"/>
  <c r="R47" i="18"/>
  <c r="CE49" i="18"/>
  <c r="R49" i="18" s="1"/>
  <c r="CH30" i="18"/>
  <c r="CE36" i="15"/>
  <c r="CG34" i="16"/>
  <c r="S33" i="16"/>
  <c r="S36" i="16"/>
  <c r="CI34" i="16"/>
  <c r="S35" i="16"/>
  <c r="CH34" i="16"/>
  <c r="CJ37" i="16"/>
  <c r="T37" i="16" s="1"/>
  <c r="V42" i="16"/>
  <c r="W14" i="16"/>
  <c r="V16" i="16"/>
  <c r="W6" i="16"/>
  <c r="W7" i="16"/>
  <c r="V37" i="16"/>
  <c r="V30" i="16"/>
  <c r="CG43" i="16"/>
  <c r="CI43" i="16"/>
  <c r="CH43" i="16"/>
  <c r="CH27" i="15"/>
  <c r="CH26" i="15"/>
  <c r="CH28" i="15"/>
  <c r="CH25" i="15"/>
  <c r="CH22" i="15"/>
  <c r="CH23" i="15"/>
  <c r="CH24" i="15"/>
  <c r="CH21" i="15"/>
  <c r="CH16" i="15"/>
  <c r="CI17" i="15"/>
  <c r="CI18" i="15" s="1"/>
  <c r="CG30" i="15"/>
  <c r="CB47" i="15"/>
  <c r="CE33" i="15"/>
  <c r="CC47" i="15"/>
  <c r="CC49" i="15" s="1"/>
  <c r="CD47" i="15"/>
  <c r="CD49" i="15" s="1"/>
  <c r="CE35" i="15"/>
  <c r="CD47" i="12"/>
  <c r="CD49" i="12" s="1"/>
  <c r="CC47" i="12"/>
  <c r="CC49" i="12" s="1"/>
  <c r="CG30" i="12"/>
  <c r="CE36" i="12"/>
  <c r="CB47" i="12"/>
  <c r="CE33" i="12"/>
  <c r="CH18" i="12"/>
  <c r="CE35" i="12"/>
  <c r="CH30" i="22" l="1"/>
  <c r="CI18" i="22"/>
  <c r="R47" i="22"/>
  <c r="CE49" i="22"/>
  <c r="R49" i="22" s="1"/>
  <c r="CJ43" i="21"/>
  <c r="T43" i="21" s="1"/>
  <c r="CG47" i="21"/>
  <c r="V39" i="21"/>
  <c r="V43" i="21"/>
  <c r="W45" i="21"/>
  <c r="W4" i="21" s="1"/>
  <c r="W8" i="21" s="1"/>
  <c r="W17" i="21" s="1"/>
  <c r="W18" i="21" s="1"/>
  <c r="V34" i="21"/>
  <c r="CI41" i="20"/>
  <c r="CH41" i="20"/>
  <c r="CG41" i="20"/>
  <c r="CJ42" i="20"/>
  <c r="T42" i="20" s="1"/>
  <c r="S30" i="20"/>
  <c r="CI40" i="20"/>
  <c r="CH40" i="20"/>
  <c r="CG40" i="20"/>
  <c r="CJ37" i="20"/>
  <c r="T37" i="20" s="1"/>
  <c r="S40" i="18"/>
  <c r="S41" i="18"/>
  <c r="CI28" i="18"/>
  <c r="CJ28" i="18" s="1"/>
  <c r="T28" i="18" s="1"/>
  <c r="CI27" i="18"/>
  <c r="CJ27" i="18" s="1"/>
  <c r="T27" i="18" s="1"/>
  <c r="CI26" i="18"/>
  <c r="CJ26" i="18" s="1"/>
  <c r="T26" i="18" s="1"/>
  <c r="CI25" i="18"/>
  <c r="CJ25" i="18" s="1"/>
  <c r="T25" i="18" s="1"/>
  <c r="CJ18" i="18"/>
  <c r="S18" i="18" s="1"/>
  <c r="CI23" i="18"/>
  <c r="CJ23" i="18" s="1"/>
  <c r="T23" i="18" s="1"/>
  <c r="T18" i="18"/>
  <c r="CI22" i="18"/>
  <c r="CJ22" i="18" s="1"/>
  <c r="T22" i="18" s="1"/>
  <c r="CI16" i="18"/>
  <c r="CJ16" i="18" s="1"/>
  <c r="CI21" i="18"/>
  <c r="CI24" i="18"/>
  <c r="CJ24" i="18" s="1"/>
  <c r="T24" i="18" s="1"/>
  <c r="CI35" i="16"/>
  <c r="CH35" i="16"/>
  <c r="CG35" i="16"/>
  <c r="CI36" i="16"/>
  <c r="CH36" i="16"/>
  <c r="CG36" i="16"/>
  <c r="CJ36" i="16" s="1"/>
  <c r="T36" i="16" s="1"/>
  <c r="CJ43" i="16"/>
  <c r="T43" i="16" s="1"/>
  <c r="CH33" i="16"/>
  <c r="CG33" i="16"/>
  <c r="CI33" i="16"/>
  <c r="V43" i="16"/>
  <c r="W45" i="16"/>
  <c r="W4" i="16" s="1"/>
  <c r="W8" i="16" s="1"/>
  <c r="W17" i="16" s="1"/>
  <c r="W18" i="16" s="1"/>
  <c r="V39" i="16"/>
  <c r="V34" i="16"/>
  <c r="CJ34" i="16"/>
  <c r="T34" i="16" s="1"/>
  <c r="CH30" i="15"/>
  <c r="CJ17" i="15"/>
  <c r="S17" i="15" s="1"/>
  <c r="CI27" i="15"/>
  <c r="CJ27" i="15" s="1"/>
  <c r="T27" i="15" s="1"/>
  <c r="CI25" i="15"/>
  <c r="CJ25" i="15" s="1"/>
  <c r="T25" i="15" s="1"/>
  <c r="CI26" i="15"/>
  <c r="CJ26" i="15" s="1"/>
  <c r="T26" i="15" s="1"/>
  <c r="CI28" i="15"/>
  <c r="CJ28" i="15" s="1"/>
  <c r="T28" i="15" s="1"/>
  <c r="T18" i="15"/>
  <c r="CI16" i="15"/>
  <c r="CJ16" i="15" s="1"/>
  <c r="CI22" i="15"/>
  <c r="CJ22" i="15" s="1"/>
  <c r="T22" i="15" s="1"/>
  <c r="CI23" i="15"/>
  <c r="CJ23" i="15" s="1"/>
  <c r="T23" i="15" s="1"/>
  <c r="CI21" i="15"/>
  <c r="CJ21" i="15" s="1"/>
  <c r="CJ18" i="15"/>
  <c r="S18" i="15" s="1"/>
  <c r="CI24" i="15"/>
  <c r="CJ24" i="15" s="1"/>
  <c r="T24" i="15" s="1"/>
  <c r="CE47" i="15"/>
  <c r="CB49" i="15"/>
  <c r="CH28" i="12"/>
  <c r="CH26" i="12"/>
  <c r="CH22" i="12"/>
  <c r="CH21" i="12"/>
  <c r="CH27" i="12"/>
  <c r="CH25" i="12"/>
  <c r="CH16" i="12"/>
  <c r="CH23" i="12"/>
  <c r="CH24" i="12"/>
  <c r="CI17" i="12"/>
  <c r="CJ17" i="12" s="1"/>
  <c r="S17" i="12" s="1"/>
  <c r="CE47" i="12"/>
  <c r="R47" i="12" s="1"/>
  <c r="CB49" i="12"/>
  <c r="S41" i="22" l="1"/>
  <c r="S40" i="22"/>
  <c r="CI28" i="22"/>
  <c r="CJ28" i="22" s="1"/>
  <c r="T28" i="22" s="1"/>
  <c r="CI27" i="22"/>
  <c r="CJ27" i="22" s="1"/>
  <c r="T27" i="22" s="1"/>
  <c r="CI25" i="22"/>
  <c r="CJ25" i="22" s="1"/>
  <c r="T25" i="22" s="1"/>
  <c r="CI24" i="22"/>
  <c r="CJ24" i="22" s="1"/>
  <c r="T24" i="22" s="1"/>
  <c r="CJ18" i="22"/>
  <c r="S18" i="22" s="1"/>
  <c r="CI22" i="22"/>
  <c r="CJ22" i="22" s="1"/>
  <c r="T22" i="22" s="1"/>
  <c r="CI26" i="22"/>
  <c r="CJ26" i="22" s="1"/>
  <c r="T26" i="22" s="1"/>
  <c r="CI23" i="22"/>
  <c r="CJ23" i="22" s="1"/>
  <c r="T23" i="22" s="1"/>
  <c r="CI16" i="22"/>
  <c r="CJ16" i="22" s="1"/>
  <c r="T18" i="22"/>
  <c r="CI21" i="22"/>
  <c r="W42" i="21"/>
  <c r="W16" i="21"/>
  <c r="X14" i="21"/>
  <c r="X6" i="21"/>
  <c r="X7" i="21"/>
  <c r="W37" i="21"/>
  <c r="W30" i="21"/>
  <c r="V36" i="21"/>
  <c r="V35" i="21"/>
  <c r="V33" i="21"/>
  <c r="CJ47" i="21"/>
  <c r="CG49" i="21"/>
  <c r="CJ41" i="20"/>
  <c r="T41" i="20" s="1"/>
  <c r="S43" i="20"/>
  <c r="V45" i="20"/>
  <c r="V4" i="20" s="1"/>
  <c r="V8" i="20" s="1"/>
  <c r="V17" i="20" s="1"/>
  <c r="V18" i="20" s="1"/>
  <c r="T30" i="20"/>
  <c r="CJ40" i="20"/>
  <c r="T40" i="20" s="1"/>
  <c r="T16" i="18"/>
  <c r="V14" i="18"/>
  <c r="T17" i="18"/>
  <c r="S42" i="18"/>
  <c r="S16" i="18"/>
  <c r="V7" i="18"/>
  <c r="V6" i="18"/>
  <c r="CI41" i="18"/>
  <c r="CH41" i="18"/>
  <c r="CG41" i="18"/>
  <c r="CI30" i="18"/>
  <c r="CJ21" i="18"/>
  <c r="CI40" i="18"/>
  <c r="CG40" i="18"/>
  <c r="CH40" i="18"/>
  <c r="CJ35" i="16"/>
  <c r="T35" i="16" s="1"/>
  <c r="CH47" i="16"/>
  <c r="CH49" i="16" s="1"/>
  <c r="D11" i="14"/>
  <c r="D12" i="14"/>
  <c r="V7" i="15"/>
  <c r="V6" i="15"/>
  <c r="D8" i="14"/>
  <c r="V14" i="15"/>
  <c r="E4" i="14" s="1"/>
  <c r="W42" i="16"/>
  <c r="X14" i="16"/>
  <c r="W16" i="16"/>
  <c r="X6" i="16"/>
  <c r="X7" i="16"/>
  <c r="W37" i="16"/>
  <c r="W30" i="16"/>
  <c r="CI47" i="16"/>
  <c r="CI49" i="16" s="1"/>
  <c r="V33" i="16"/>
  <c r="V36" i="16"/>
  <c r="V35" i="16"/>
  <c r="CG47" i="16"/>
  <c r="CJ33" i="16"/>
  <c r="T33" i="16" s="1"/>
  <c r="S37" i="15"/>
  <c r="T21" i="15"/>
  <c r="D10" i="14" s="1"/>
  <c r="R47" i="15"/>
  <c r="CE49" i="15"/>
  <c r="R49" i="15" s="1"/>
  <c r="T17" i="15"/>
  <c r="D7" i="14" s="1"/>
  <c r="T16" i="15"/>
  <c r="D6" i="14" s="1"/>
  <c r="CI30" i="15"/>
  <c r="S42" i="15"/>
  <c r="S16" i="15"/>
  <c r="X23" i="3"/>
  <c r="CE49" i="12"/>
  <c r="R49" i="12" s="1"/>
  <c r="CH30" i="12"/>
  <c r="CI18" i="12"/>
  <c r="T18" i="12" s="1"/>
  <c r="O23" i="3" s="1"/>
  <c r="T17" i="22" l="1"/>
  <c r="T16" i="22"/>
  <c r="V14" i="22"/>
  <c r="S42" i="22"/>
  <c r="S16" i="22"/>
  <c r="V6" i="22"/>
  <c r="V7" i="22"/>
  <c r="CI40" i="22"/>
  <c r="CH40" i="22"/>
  <c r="CG40" i="22"/>
  <c r="CI30" i="22"/>
  <c r="CJ21" i="22"/>
  <c r="CI41" i="22"/>
  <c r="CG41" i="22"/>
  <c r="CH41" i="22"/>
  <c r="S47" i="21"/>
  <c r="T47" i="21" s="1"/>
  <c r="CJ49" i="21"/>
  <c r="S49" i="21" s="1"/>
  <c r="X45" i="21"/>
  <c r="X4" i="21" s="1"/>
  <c r="X8" i="21" s="1"/>
  <c r="X17" i="21" s="1"/>
  <c r="X18" i="21" s="1"/>
  <c r="W43" i="21"/>
  <c r="W34" i="21"/>
  <c r="W39" i="21"/>
  <c r="S35" i="20"/>
  <c r="CH34" i="20"/>
  <c r="CG34" i="20"/>
  <c r="S33" i="20"/>
  <c r="S36" i="20"/>
  <c r="CI34" i="20"/>
  <c r="V42" i="20"/>
  <c r="V16" i="20"/>
  <c r="W14" i="20"/>
  <c r="W6" i="20"/>
  <c r="W7" i="20"/>
  <c r="V37" i="20"/>
  <c r="V30" i="20"/>
  <c r="CG43" i="20"/>
  <c r="CI43" i="20"/>
  <c r="CH43" i="20"/>
  <c r="CJ41" i="18"/>
  <c r="T41" i="18" s="1"/>
  <c r="CH42" i="18"/>
  <c r="CI42" i="18"/>
  <c r="CG42" i="18"/>
  <c r="CJ30" i="18"/>
  <c r="S37" i="18"/>
  <c r="T21" i="18"/>
  <c r="CJ40" i="18"/>
  <c r="T40" i="18" s="1"/>
  <c r="W43" i="16"/>
  <c r="W39" i="16"/>
  <c r="X45" i="16"/>
  <c r="X4" i="16" s="1"/>
  <c r="X8" i="16" s="1"/>
  <c r="X17" i="16" s="1"/>
  <c r="X18" i="16" s="1"/>
  <c r="W34" i="16"/>
  <c r="CJ47" i="16"/>
  <c r="CG49" i="16"/>
  <c r="S41" i="15"/>
  <c r="S40" i="15"/>
  <c r="CH42" i="15"/>
  <c r="CG42" i="15"/>
  <c r="CI42" i="15"/>
  <c r="CJ30" i="15"/>
  <c r="CG37" i="15"/>
  <c r="CI37" i="15"/>
  <c r="CH37" i="15"/>
  <c r="T16" i="12"/>
  <c r="V14" i="12"/>
  <c r="T17" i="12"/>
  <c r="S41" i="12"/>
  <c r="S40" i="12"/>
  <c r="CI27" i="12"/>
  <c r="CJ27" i="12" s="1"/>
  <c r="T27" i="12" s="1"/>
  <c r="CI25" i="12"/>
  <c r="CJ25" i="12" s="1"/>
  <c r="T25" i="12" s="1"/>
  <c r="CI28" i="12"/>
  <c r="CJ28" i="12" s="1"/>
  <c r="T28" i="12" s="1"/>
  <c r="CI26" i="12"/>
  <c r="CJ26" i="12" s="1"/>
  <c r="T26" i="12" s="1"/>
  <c r="CI22" i="12"/>
  <c r="CJ22" i="12" s="1"/>
  <c r="T22" i="12" s="1"/>
  <c r="CI21" i="12"/>
  <c r="CI23" i="12"/>
  <c r="CJ23" i="12" s="1"/>
  <c r="T23" i="12" s="1"/>
  <c r="CI16" i="12"/>
  <c r="CJ16" i="12" s="1"/>
  <c r="CI24" i="12"/>
  <c r="CJ24" i="12" s="1"/>
  <c r="T24" i="12" s="1"/>
  <c r="CJ18" i="12"/>
  <c r="S18" i="12" s="1"/>
  <c r="CJ40" i="22" l="1"/>
  <c r="T40" i="22" s="1"/>
  <c r="CJ30" i="22"/>
  <c r="S37" i="22"/>
  <c r="T21" i="22"/>
  <c r="CG42" i="22"/>
  <c r="CI42" i="22"/>
  <c r="CH42" i="22"/>
  <c r="CJ41" i="22"/>
  <c r="T41" i="22" s="1"/>
  <c r="W36" i="21"/>
  <c r="W33" i="21"/>
  <c r="W35" i="21"/>
  <c r="V41" i="21"/>
  <c r="V40" i="21"/>
  <c r="T49" i="21"/>
  <c r="X42" i="21"/>
  <c r="X16" i="21"/>
  <c r="X37" i="21"/>
  <c r="X30" i="21"/>
  <c r="CI33" i="20"/>
  <c r="CH33" i="20"/>
  <c r="CG33" i="20"/>
  <c r="V43" i="20"/>
  <c r="W45" i="20"/>
  <c r="W4" i="20" s="1"/>
  <c r="W8" i="20" s="1"/>
  <c r="W17" i="20" s="1"/>
  <c r="W18" i="20" s="1"/>
  <c r="V39" i="20"/>
  <c r="V34" i="20"/>
  <c r="CJ34" i="20"/>
  <c r="T34" i="20" s="1"/>
  <c r="CI36" i="20"/>
  <c r="CH36" i="20"/>
  <c r="CG36" i="20"/>
  <c r="CJ43" i="20"/>
  <c r="T43" i="20" s="1"/>
  <c r="CI35" i="20"/>
  <c r="CH35" i="20"/>
  <c r="CG35" i="20"/>
  <c r="CJ42" i="18"/>
  <c r="T42" i="18" s="1"/>
  <c r="S30" i="18"/>
  <c r="CI37" i="18"/>
  <c r="CG37" i="18"/>
  <c r="CH37" i="18"/>
  <c r="S47" i="16"/>
  <c r="T47" i="16" s="1"/>
  <c r="CJ49" i="16"/>
  <c r="S49" i="16" s="1"/>
  <c r="W33" i="16"/>
  <c r="W36" i="16"/>
  <c r="W35" i="16"/>
  <c r="X42" i="16"/>
  <c r="X16" i="16"/>
  <c r="X37" i="16"/>
  <c r="X30" i="16"/>
  <c r="CJ42" i="15"/>
  <c r="T42" i="15" s="1"/>
  <c r="CJ37" i="15"/>
  <c r="T37" i="15" s="1"/>
  <c r="CI40" i="15"/>
  <c r="CH40" i="15"/>
  <c r="CG40" i="15"/>
  <c r="S30" i="15"/>
  <c r="V45" i="15" s="1"/>
  <c r="CI41" i="15"/>
  <c r="CH41" i="15"/>
  <c r="CG41" i="15"/>
  <c r="S16" i="12"/>
  <c r="V6" i="12"/>
  <c r="V7" i="12"/>
  <c r="S42" i="12"/>
  <c r="CI30" i="12"/>
  <c r="CJ21" i="12"/>
  <c r="CI40" i="12"/>
  <c r="CG40" i="12"/>
  <c r="CH40" i="12"/>
  <c r="CH41" i="12"/>
  <c r="CG41" i="12"/>
  <c r="CI41" i="12"/>
  <c r="CJ42" i="22" l="1"/>
  <c r="T42" i="22" s="1"/>
  <c r="S30" i="22"/>
  <c r="CH37" i="22"/>
  <c r="CG37" i="22"/>
  <c r="CI37" i="22"/>
  <c r="V47" i="21"/>
  <c r="V49" i="21" s="1"/>
  <c r="W40" i="21" s="1"/>
  <c r="X39" i="21"/>
  <c r="X34" i="21"/>
  <c r="X43" i="21"/>
  <c r="CJ35" i="20"/>
  <c r="T35" i="20" s="1"/>
  <c r="CJ36" i="20"/>
  <c r="T36" i="20" s="1"/>
  <c r="W42" i="20"/>
  <c r="W16" i="20"/>
  <c r="X14" i="20"/>
  <c r="X6" i="20"/>
  <c r="X7" i="20"/>
  <c r="W37" i="20"/>
  <c r="W30" i="20"/>
  <c r="V33" i="20"/>
  <c r="V36" i="20"/>
  <c r="V35" i="20"/>
  <c r="CH47" i="20"/>
  <c r="CH49" i="20" s="1"/>
  <c r="CG47" i="20"/>
  <c r="CJ33" i="20"/>
  <c r="T33" i="20" s="1"/>
  <c r="CI47" i="20"/>
  <c r="CI49" i="20" s="1"/>
  <c r="CJ37" i="18"/>
  <c r="T37" i="18" s="1"/>
  <c r="S43" i="18"/>
  <c r="V45" i="18"/>
  <c r="V4" i="18" s="1"/>
  <c r="V8" i="18" s="1"/>
  <c r="V17" i="18" s="1"/>
  <c r="V18" i="18" s="1"/>
  <c r="S34" i="18"/>
  <c r="T30" i="18"/>
  <c r="V4" i="15"/>
  <c r="V8" i="15" s="1"/>
  <c r="E15" i="14"/>
  <c r="V41" i="16"/>
  <c r="V40" i="16"/>
  <c r="T49" i="16"/>
  <c r="X39" i="16"/>
  <c r="X43" i="16"/>
  <c r="X34" i="16"/>
  <c r="CJ40" i="15"/>
  <c r="T40" i="15" s="1"/>
  <c r="S43" i="15"/>
  <c r="S34" i="15"/>
  <c r="T30" i="15"/>
  <c r="D13" i="14" s="1"/>
  <c r="CJ41" i="15"/>
  <c r="T41" i="15" s="1"/>
  <c r="Z23" i="3"/>
  <c r="X24" i="3"/>
  <c r="S37" i="12"/>
  <c r="T21" i="12"/>
  <c r="CJ40" i="12"/>
  <c r="T40" i="12" s="1"/>
  <c r="CJ41" i="12"/>
  <c r="T41" i="12" s="1"/>
  <c r="CJ30" i="12"/>
  <c r="S30" i="12" s="1"/>
  <c r="CH42" i="12"/>
  <c r="CI42" i="12"/>
  <c r="CG42" i="12"/>
  <c r="P23" i="3"/>
  <c r="CJ37" i="22" l="1"/>
  <c r="T37" i="22" s="1"/>
  <c r="S43" i="22"/>
  <c r="V45" i="22"/>
  <c r="V4" i="22" s="1"/>
  <c r="V8" i="22" s="1"/>
  <c r="V17" i="22" s="1"/>
  <c r="V18" i="22" s="1"/>
  <c r="S34" i="22"/>
  <c r="T30" i="22"/>
  <c r="W41" i="21"/>
  <c r="W47" i="21" s="1"/>
  <c r="W49" i="21" s="1"/>
  <c r="X40" i="21" s="1"/>
  <c r="X36" i="21"/>
  <c r="X33" i="21"/>
  <c r="X35" i="21"/>
  <c r="X45" i="20"/>
  <c r="X4" i="20" s="1"/>
  <c r="X8" i="20" s="1"/>
  <c r="X17" i="20" s="1"/>
  <c r="X18" i="20" s="1"/>
  <c r="W39" i="20"/>
  <c r="W43" i="20"/>
  <c r="W34" i="20"/>
  <c r="CJ47" i="20"/>
  <c r="CG49" i="20"/>
  <c r="V42" i="18"/>
  <c r="W14" i="18"/>
  <c r="V16" i="18"/>
  <c r="V37" i="18"/>
  <c r="W7" i="18"/>
  <c r="W6" i="18"/>
  <c r="V30" i="18"/>
  <c r="CG43" i="18"/>
  <c r="CI43" i="18"/>
  <c r="CH43" i="18"/>
  <c r="CI34" i="18"/>
  <c r="S35" i="18"/>
  <c r="CH34" i="18"/>
  <c r="S33" i="18"/>
  <c r="S36" i="18"/>
  <c r="CG34" i="18"/>
  <c r="V47" i="16"/>
  <c r="V49" i="16" s="1"/>
  <c r="E3" i="14"/>
  <c r="V17" i="15"/>
  <c r="W41" i="16"/>
  <c r="W40" i="16"/>
  <c r="W47" i="16" s="1"/>
  <c r="W49" i="16" s="1"/>
  <c r="X36" i="16"/>
  <c r="X35" i="16"/>
  <c r="X33" i="16"/>
  <c r="S33" i="15"/>
  <c r="S36" i="15"/>
  <c r="CI34" i="15"/>
  <c r="S35" i="15"/>
  <c r="CH34" i="15"/>
  <c r="CG34" i="15"/>
  <c r="CH43" i="15"/>
  <c r="CG43" i="15"/>
  <c r="CI43" i="15"/>
  <c r="S34" i="12"/>
  <c r="V45" i="12"/>
  <c r="V4" i="12" s="1"/>
  <c r="V8" i="12" s="1"/>
  <c r="V17" i="12" s="1"/>
  <c r="V18" i="12" s="1"/>
  <c r="O24" i="3" s="1"/>
  <c r="S43" i="12"/>
  <c r="T30" i="12"/>
  <c r="CJ42" i="12"/>
  <c r="T42" i="12" s="1"/>
  <c r="CH37" i="12"/>
  <c r="CG37" i="12"/>
  <c r="CI37" i="12"/>
  <c r="S36" i="22" l="1"/>
  <c r="S35" i="22"/>
  <c r="CH34" i="22"/>
  <c r="S33" i="22"/>
  <c r="CI34" i="22"/>
  <c r="CG34" i="22"/>
  <c r="V42" i="22"/>
  <c r="V16" i="22"/>
  <c r="W14" i="22"/>
  <c r="W6" i="22"/>
  <c r="W7" i="22"/>
  <c r="V37" i="22"/>
  <c r="V30" i="22"/>
  <c r="CI43" i="22"/>
  <c r="CH43" i="22"/>
  <c r="CG43" i="22"/>
  <c r="X41" i="21"/>
  <c r="X47" i="21" s="1"/>
  <c r="X49" i="21" s="1"/>
  <c r="X42" i="20"/>
  <c r="X16" i="20"/>
  <c r="X37" i="20"/>
  <c r="X30" i="20"/>
  <c r="S47" i="20"/>
  <c r="T47" i="20" s="1"/>
  <c r="CJ49" i="20"/>
  <c r="S49" i="20" s="1"/>
  <c r="W33" i="20"/>
  <c r="W36" i="20"/>
  <c r="W35" i="20"/>
  <c r="CG35" i="18"/>
  <c r="CH35" i="18"/>
  <c r="CI35" i="18"/>
  <c r="CJ34" i="18"/>
  <c r="T34" i="18" s="1"/>
  <c r="CJ43" i="18"/>
  <c r="T43" i="18" s="1"/>
  <c r="CI36" i="18"/>
  <c r="CH36" i="18"/>
  <c r="CG36" i="18"/>
  <c r="V43" i="18"/>
  <c r="W45" i="18"/>
  <c r="W4" i="18" s="1"/>
  <c r="W8" i="18" s="1"/>
  <c r="W17" i="18" s="1"/>
  <c r="W18" i="18" s="1"/>
  <c r="V39" i="18"/>
  <c r="V34" i="18"/>
  <c r="CI33" i="18"/>
  <c r="CG33" i="18"/>
  <c r="CH33" i="18"/>
  <c r="V18" i="15"/>
  <c r="E7" i="14"/>
  <c r="X40" i="16"/>
  <c r="X41" i="16"/>
  <c r="CJ34" i="15"/>
  <c r="T34" i="15" s="1"/>
  <c r="CI35" i="15"/>
  <c r="CH35" i="15"/>
  <c r="CG35" i="15"/>
  <c r="CI36" i="15"/>
  <c r="CH36" i="15"/>
  <c r="CG36" i="15"/>
  <c r="CG33" i="15"/>
  <c r="CI33" i="15"/>
  <c r="CH33" i="15"/>
  <c r="CJ43" i="15"/>
  <c r="T43" i="15" s="1"/>
  <c r="X25" i="3"/>
  <c r="W7" i="12"/>
  <c r="V42" i="12"/>
  <c r="W6" i="12"/>
  <c r="V16" i="12"/>
  <c r="W14" i="12"/>
  <c r="V37" i="12"/>
  <c r="V30" i="12"/>
  <c r="S35" i="12"/>
  <c r="S33" i="12"/>
  <c r="S36" i="12"/>
  <c r="CJ37" i="12"/>
  <c r="T37" i="12" s="1"/>
  <c r="P24" i="3"/>
  <c r="CJ34" i="22" l="1"/>
  <c r="T34" i="22" s="1"/>
  <c r="CI33" i="22"/>
  <c r="CG33" i="22"/>
  <c r="CH33" i="22"/>
  <c r="CJ43" i="22"/>
  <c r="T43" i="22" s="1"/>
  <c r="CH35" i="22"/>
  <c r="CI35" i="22"/>
  <c r="CG35" i="22"/>
  <c r="W45" i="22"/>
  <c r="W4" i="22" s="1"/>
  <c r="W8" i="22" s="1"/>
  <c r="W17" i="22" s="1"/>
  <c r="W18" i="22" s="1"/>
  <c r="V39" i="22"/>
  <c r="V43" i="22"/>
  <c r="V34" i="22"/>
  <c r="CI36" i="22"/>
  <c r="CH36" i="22"/>
  <c r="CG36" i="22"/>
  <c r="V41" i="20"/>
  <c r="V40" i="20"/>
  <c r="T49" i="20"/>
  <c r="X39" i="20"/>
  <c r="X43" i="20"/>
  <c r="X34" i="20"/>
  <c r="CJ36" i="18"/>
  <c r="T36" i="18" s="1"/>
  <c r="CH47" i="18"/>
  <c r="CH49" i="18" s="1"/>
  <c r="CG47" i="18"/>
  <c r="CJ33" i="18"/>
  <c r="T33" i="18" s="1"/>
  <c r="CI47" i="18"/>
  <c r="CI49" i="18" s="1"/>
  <c r="W42" i="18"/>
  <c r="X14" i="18"/>
  <c r="X7" i="18"/>
  <c r="X6" i="18"/>
  <c r="W16" i="18"/>
  <c r="W37" i="18"/>
  <c r="W30" i="18"/>
  <c r="V33" i="18"/>
  <c r="V36" i="18"/>
  <c r="V35" i="18"/>
  <c r="CJ35" i="18"/>
  <c r="T35" i="18" s="1"/>
  <c r="D16" i="14"/>
  <c r="CJ36" i="15"/>
  <c r="T36" i="15" s="1"/>
  <c r="E8" i="14"/>
  <c r="W6" i="15"/>
  <c r="W14" i="15"/>
  <c r="F4" i="14" s="1"/>
  <c r="V16" i="15"/>
  <c r="E6" i="14" s="1"/>
  <c r="V42" i="15"/>
  <c r="W7" i="15"/>
  <c r="V37" i="15"/>
  <c r="V30" i="15"/>
  <c r="X47" i="16"/>
  <c r="X49" i="16" s="1"/>
  <c r="CI47" i="15"/>
  <c r="CI49" i="15" s="1"/>
  <c r="CJ35" i="15"/>
  <c r="T35" i="15" s="1"/>
  <c r="T23" i="3"/>
  <c r="CG47" i="15"/>
  <c r="CJ33" i="15"/>
  <c r="T33" i="15" s="1"/>
  <c r="CH47" i="15"/>
  <c r="CH49" i="15" s="1"/>
  <c r="V34" i="12"/>
  <c r="V39" i="12"/>
  <c r="W45" i="12"/>
  <c r="W4" i="12" s="1"/>
  <c r="W8" i="12" s="1"/>
  <c r="W17" i="12" s="1"/>
  <c r="W18" i="12" s="1"/>
  <c r="O25" i="3" s="1"/>
  <c r="V43" i="12"/>
  <c r="CG34" i="12"/>
  <c r="CI34" i="12"/>
  <c r="CH34" i="12"/>
  <c r="CG43" i="12"/>
  <c r="CH43" i="12"/>
  <c r="CI43" i="12"/>
  <c r="CJ36" i="22" l="1"/>
  <c r="T36" i="22" s="1"/>
  <c r="CJ35" i="22"/>
  <c r="T35" i="22" s="1"/>
  <c r="V35" i="22"/>
  <c r="V33" i="22"/>
  <c r="V36" i="22"/>
  <c r="CH47" i="22"/>
  <c r="CH49" i="22" s="1"/>
  <c r="CG47" i="22"/>
  <c r="CJ33" i="22"/>
  <c r="T33" i="22" s="1"/>
  <c r="W42" i="22"/>
  <c r="W16" i="22"/>
  <c r="X14" i="22"/>
  <c r="X6" i="22"/>
  <c r="X7" i="22"/>
  <c r="W37" i="22"/>
  <c r="W30" i="22"/>
  <c r="CI47" i="22"/>
  <c r="CI49" i="22" s="1"/>
  <c r="V47" i="20"/>
  <c r="V49" i="20" s="1"/>
  <c r="W41" i="20" s="1"/>
  <c r="X33" i="20"/>
  <c r="X36" i="20"/>
  <c r="X35" i="20"/>
  <c r="W43" i="18"/>
  <c r="X45" i="18"/>
  <c r="X4" i="18" s="1"/>
  <c r="X8" i="18" s="1"/>
  <c r="X17" i="18" s="1"/>
  <c r="X18" i="18" s="1"/>
  <c r="W34" i="18"/>
  <c r="W39" i="18"/>
  <c r="CJ47" i="18"/>
  <c r="CG49" i="18"/>
  <c r="D17" i="14"/>
  <c r="E13" i="14"/>
  <c r="V43" i="15"/>
  <c r="W45" i="15"/>
  <c r="V34" i="15"/>
  <c r="V39" i="15"/>
  <c r="CJ47" i="15"/>
  <c r="CG49" i="15"/>
  <c r="Z24" i="3"/>
  <c r="X26" i="3"/>
  <c r="X6" i="12"/>
  <c r="X7" i="12"/>
  <c r="W42" i="12"/>
  <c r="W16" i="12"/>
  <c r="X14" i="12"/>
  <c r="W37" i="12"/>
  <c r="W30" i="12"/>
  <c r="V33" i="12"/>
  <c r="V36" i="12"/>
  <c r="V35" i="12"/>
  <c r="CI35" i="12"/>
  <c r="CH35" i="12"/>
  <c r="CG35" i="12"/>
  <c r="CH33" i="12"/>
  <c r="CI33" i="12"/>
  <c r="CG33" i="12"/>
  <c r="CI36" i="12"/>
  <c r="CG36" i="12"/>
  <c r="CH36" i="12"/>
  <c r="CJ43" i="12"/>
  <c r="T43" i="12" s="1"/>
  <c r="CJ34" i="12"/>
  <c r="T34" i="12" s="1"/>
  <c r="P25" i="3"/>
  <c r="CJ47" i="22" l="1"/>
  <c r="CG49" i="22"/>
  <c r="X45" i="22"/>
  <c r="X4" i="22" s="1"/>
  <c r="X8" i="22" s="1"/>
  <c r="X17" i="22" s="1"/>
  <c r="X18" i="22" s="1"/>
  <c r="W39" i="22"/>
  <c r="W43" i="22"/>
  <c r="W34" i="22"/>
  <c r="W40" i="20"/>
  <c r="W47" i="20" s="1"/>
  <c r="W49" i="20" s="1"/>
  <c r="X41" i="20" s="1"/>
  <c r="S47" i="18"/>
  <c r="T47" i="18" s="1"/>
  <c r="CJ49" i="18"/>
  <c r="S49" i="18" s="1"/>
  <c r="W36" i="18"/>
  <c r="W33" i="18"/>
  <c r="W35" i="18"/>
  <c r="X42" i="18"/>
  <c r="X16" i="18"/>
  <c r="X37" i="18"/>
  <c r="X30" i="18"/>
  <c r="W4" i="15"/>
  <c r="W8" i="15" s="1"/>
  <c r="F15" i="14"/>
  <c r="E16" i="14"/>
  <c r="V36" i="15"/>
  <c r="V33" i="15"/>
  <c r="V35" i="15"/>
  <c r="S47" i="15"/>
  <c r="T47" i="15" s="1"/>
  <c r="D18" i="14" s="1"/>
  <c r="CJ49" i="15"/>
  <c r="S49" i="15" s="1"/>
  <c r="CJ36" i="12"/>
  <c r="T36" i="12" s="1"/>
  <c r="W39" i="12"/>
  <c r="X45" i="12"/>
  <c r="X4" i="12" s="1"/>
  <c r="X8" i="12" s="1"/>
  <c r="X17" i="12" s="1"/>
  <c r="X18" i="12" s="1"/>
  <c r="O26" i="3" s="1"/>
  <c r="W43" i="12"/>
  <c r="W34" i="12"/>
  <c r="CJ35" i="12"/>
  <c r="T35" i="12" s="1"/>
  <c r="CI47" i="12"/>
  <c r="CI49" i="12" s="1"/>
  <c r="CG47" i="12"/>
  <c r="CJ33" i="12"/>
  <c r="T33" i="12" s="1"/>
  <c r="CH47" i="12"/>
  <c r="CH49" i="12" s="1"/>
  <c r="W36" i="22" l="1"/>
  <c r="W35" i="22"/>
  <c r="W33" i="22"/>
  <c r="X42" i="22"/>
  <c r="X16" i="22"/>
  <c r="X37" i="22"/>
  <c r="X30" i="22"/>
  <c r="S47" i="22"/>
  <c r="T47" i="22" s="1"/>
  <c r="CJ49" i="22"/>
  <c r="S49" i="22" s="1"/>
  <c r="X40" i="20"/>
  <c r="X47" i="20" s="1"/>
  <c r="X49" i="20" s="1"/>
  <c r="V41" i="18"/>
  <c r="V40" i="18"/>
  <c r="T49" i="18"/>
  <c r="X39" i="18"/>
  <c r="X43" i="18"/>
  <c r="X34" i="18"/>
  <c r="W17" i="15"/>
  <c r="F3" i="14"/>
  <c r="V41" i="15"/>
  <c r="V40" i="15"/>
  <c r="T49" i="15"/>
  <c r="D20" i="14" s="1"/>
  <c r="Z25" i="3"/>
  <c r="W36" i="12"/>
  <c r="W35" i="12"/>
  <c r="W33" i="12"/>
  <c r="X42" i="12"/>
  <c r="X16" i="12"/>
  <c r="X37" i="12"/>
  <c r="X30" i="12"/>
  <c r="CJ47" i="12"/>
  <c r="S47" i="12" s="1"/>
  <c r="T47" i="12" s="1"/>
  <c r="CG49" i="12"/>
  <c r="P26" i="3"/>
  <c r="X39" i="22" l="1"/>
  <c r="X43" i="22"/>
  <c r="X34" i="22"/>
  <c r="V40" i="22"/>
  <c r="V41" i="22"/>
  <c r="T49" i="22"/>
  <c r="V47" i="18"/>
  <c r="V49" i="18" s="1"/>
  <c r="W41" i="18" s="1"/>
  <c r="X33" i="18"/>
  <c r="X36" i="18"/>
  <c r="X35" i="18"/>
  <c r="E17" i="14"/>
  <c r="V47" i="15"/>
  <c r="E18" i="14" s="1"/>
  <c r="W18" i="15"/>
  <c r="F7" i="14"/>
  <c r="AB23" i="3"/>
  <c r="X39" i="12"/>
  <c r="X43" i="12"/>
  <c r="X34" i="12"/>
  <c r="CJ49" i="12"/>
  <c r="S49" i="12" s="1"/>
  <c r="V47" i="22" l="1"/>
  <c r="V49" i="22" s="1"/>
  <c r="X33" i="22"/>
  <c r="X36" i="22"/>
  <c r="X35" i="22"/>
  <c r="W40" i="18"/>
  <c r="W47" i="18" s="1"/>
  <c r="W49" i="18" s="1"/>
  <c r="V49" i="15"/>
  <c r="E20" i="14" s="1"/>
  <c r="F8" i="14"/>
  <c r="X6" i="15"/>
  <c r="X7" i="15"/>
  <c r="W37" i="15"/>
  <c r="W42" i="15"/>
  <c r="W16" i="15"/>
  <c r="F6" i="14" s="1"/>
  <c r="X14" i="15"/>
  <c r="G4" i="14" s="1"/>
  <c r="W30" i="15"/>
  <c r="Z26" i="3"/>
  <c r="V23" i="3"/>
  <c r="V40" i="12"/>
  <c r="V41" i="12"/>
  <c r="T49" i="12"/>
  <c r="X36" i="12"/>
  <c r="X35" i="12"/>
  <c r="X33" i="12"/>
  <c r="W41" i="22" l="1"/>
  <c r="W40" i="22"/>
  <c r="W47" i="22" s="1"/>
  <c r="W49" i="22" s="1"/>
  <c r="X40" i="18"/>
  <c r="X41" i="18"/>
  <c r="W40" i="15"/>
  <c r="W41" i="15"/>
  <c r="F13" i="14"/>
  <c r="W43" i="15"/>
  <c r="X45" i="15"/>
  <c r="W34" i="15"/>
  <c r="W39" i="15"/>
  <c r="AB24" i="3"/>
  <c r="V47" i="12"/>
  <c r="V49" i="12" s="1"/>
  <c r="X41" i="22" l="1"/>
  <c r="X40" i="22"/>
  <c r="X47" i="22" s="1"/>
  <c r="X49" i="22" s="1"/>
  <c r="X47" i="18"/>
  <c r="X49" i="18" s="1"/>
  <c r="X4" i="15"/>
  <c r="X8" i="15" s="1"/>
  <c r="G15" i="14"/>
  <c r="F16" i="14"/>
  <c r="W33" i="15"/>
  <c r="W35" i="15"/>
  <c r="W36" i="15"/>
  <c r="T24" i="3"/>
  <c r="W40" i="12"/>
  <c r="W41" i="12"/>
  <c r="F17" i="14" l="1"/>
  <c r="W47" i="15"/>
  <c r="X17" i="15"/>
  <c r="G3" i="14"/>
  <c r="AB25" i="3"/>
  <c r="W47" i="12"/>
  <c r="W49" i="12" s="1"/>
  <c r="X18" i="15" l="1"/>
  <c r="G7" i="14"/>
  <c r="W49" i="15"/>
  <c r="F18" i="14"/>
  <c r="V24" i="3"/>
  <c r="X40" i="12"/>
  <c r="X41" i="12"/>
  <c r="F20" i="14" l="1"/>
  <c r="X40" i="15"/>
  <c r="X41" i="15"/>
  <c r="G8" i="14"/>
  <c r="X37" i="15"/>
  <c r="X16" i="15"/>
  <c r="G6" i="14" s="1"/>
  <c r="X42" i="15"/>
  <c r="X30" i="15"/>
  <c r="AB26" i="3"/>
  <c r="X47" i="12"/>
  <c r="X49" i="12" s="1"/>
  <c r="G13" i="14" l="1"/>
  <c r="X34" i="15"/>
  <c r="X39" i="15"/>
  <c r="X43" i="15"/>
  <c r="V25" i="3"/>
  <c r="G16" i="14" l="1"/>
  <c r="X36" i="15"/>
  <c r="X33" i="15"/>
  <c r="X35" i="15"/>
  <c r="T25" i="3"/>
  <c r="G17" i="14" l="1"/>
  <c r="X47" i="15"/>
  <c r="V26" i="3"/>
  <c r="G18" i="14" l="1"/>
  <c r="X49" i="15"/>
  <c r="G20" i="14" s="1"/>
  <c r="R22" i="3" l="1"/>
  <c r="T26" i="3" l="1"/>
  <c r="R23" i="3" l="1"/>
  <c r="R24" i="3" l="1"/>
  <c r="R25" i="3" l="1"/>
  <c r="R26" i="3" l="1"/>
</calcChain>
</file>

<file path=xl/comments1.xml><?xml version="1.0" encoding="utf-8"?>
<comments xmlns="http://schemas.openxmlformats.org/spreadsheetml/2006/main">
  <authors>
    <author>Michael Schöggl</author>
  </authors>
  <commentList>
    <comment ref="B7" authorId="0">
      <text>
        <r>
          <rPr>
            <b/>
            <sz val="9"/>
            <color indexed="81"/>
            <rFont val="Tahoma"/>
            <family val="2"/>
          </rPr>
          <t xml:space="preserve">Michael Schöggl:
</t>
        </r>
        <r>
          <rPr>
            <sz val="9"/>
            <color indexed="81"/>
            <rFont val="Tahoma"/>
            <family val="2"/>
          </rPr>
          <t xml:space="preserve">
CPI = Kosten pro Installation.
Ein aktiver User kostet je nach Absprungrate innerhalb der ersten paar Stunden/Tage ca. 2-3 mal so viel. Die von uns selbst ermittelten Werte bei rund 3 € pro aktivem User (d.h. keine Deinstallation innerhalb von 1 Woche) sind somit durchaus noch verbesserungsfähig. 
Absprünge danach haben wir unter Punkt 1.11 aufgelistet.
</t>
        </r>
      </text>
    </comment>
    <comment ref="B15" authorId="0">
      <text>
        <r>
          <rPr>
            <b/>
            <sz val="9"/>
            <color indexed="81"/>
            <rFont val="Tahoma"/>
            <family val="2"/>
          </rPr>
          <t>Michael Schöggl:</t>
        </r>
        <r>
          <rPr>
            <sz val="9"/>
            <color indexed="81"/>
            <rFont val="Tahoma"/>
            <family val="2"/>
          </rPr>
          <t xml:space="preserve">
- connect ist keine reine App, sondern auch als PC-Version bzw. PlayStation-Version und in VR erhältlich; dadurch können wir mit den deutlich höheren Einnahmen aus der Online-Spiele-Branche rechnen. 
- Da connect "hochwertig" wirkt (kein 2D-Handy-Spiel, sondern ein fotorealistischer Raum um mich herum), ist es sehr wahrscheinlich, dass unsere User auch mehr Geld auszugeben bereit sind, um ihr virtuelles Reich zu verbessern. </t>
        </r>
      </text>
    </comment>
  </commentList>
</comments>
</file>

<file path=xl/comments2.xml><?xml version="1.0" encoding="utf-8"?>
<comments xmlns="http://schemas.openxmlformats.org/spreadsheetml/2006/main">
  <authors>
    <author>Michael Schöggl</author>
    <author>e.com</author>
  </authors>
  <commentList>
    <comment ref="B2" authorId="0">
      <text>
        <r>
          <rPr>
            <b/>
            <sz val="9"/>
            <color indexed="81"/>
            <rFont val="Tahoma"/>
            <family val="2"/>
          </rPr>
          <t>Michael Schöggl:</t>
        </r>
        <r>
          <rPr>
            <sz val="9"/>
            <color indexed="81"/>
            <rFont val="Tahoma"/>
            <family val="2"/>
          </rPr>
          <t xml:space="preserve">
- Die Prognose mit den eigenen Schätzwerten aus dem Register-Tab "Eigene Schätzung" (mit 12 Fragen) ersetzt alle spekulativen Werte durch die eigenen Schätzwerte. Die Schätzwerte für die Kosten stammen weiterhin von uns, weil wir diese Zahlen von bisherigen Erfahrungswerten ableiten können, sie können aber in den Spalten D und E auch durch eigene Werte überschrieben werden.
- Da bei der Beantwortung der 12 Fragen aus Gründen der Einfachheit nur jeweils ein Schätzwert abgefragt wurde, fehlt die Veränderung dieses Schätzwertes im Laufe der Quartale, so wie dies bei unseren Prognosen durch Spalte C (bzw. überschreibbar durch Spalte E) geschieht. 
- Darum empfehlen wir, die ursprünglichen Schätzwerte nochmals etwas nachzujustieren, indem in Spalte E auch die grobe Veränderung (Verringerung oder Erhöhung) abgeschätzt wird. 
- Falls Sie keine Idee haben, wie diese Veränderung aussehen könnte, können Sie gerne unseren Wert von Spalte C übernehmen (manuell in Spalte E eintragen). 
- Bitte bedenken Sie aber, dass Sie bei Ihrer Schätzung dazu angehalten wurden, einen Durchschnittswert zu schätzen, der über einen längeren Verlauf hinweg realistisch ist, während bei unserem Schätzwert in Spalte B ganz bewußt davon ausgegangen wurde, dass dies der deutlich positivere oder negativere Startwert ist, der erst durch die Steigerung oder Verringerung im 2. Wert zu einem über die Quartale hinweg betrachteten Durchschnittswert wird.
- Wenn Sie also in Spalte E eine Veränderung ihres Schätzwertes eintragen, bitte nicht "blind" unseren Veränderungswert übernehmen (da dieser von einem ganz anderen Startwert in Spalte B ausgehen wird), sondern einen Wert, der diesen Unterschied beachtet. 
- Unser Tipp (so kommen wir zu unseren Werten): Am besten probieren Sie verschiedene Werte aus und prüfen jedes Mal, ob die daraus resultierenden Werte in den Quartals- oder Jahresprognosen auch realistisch erscheinen. Ohne Plausibilitätscheck ist es schwierig, gute Schätzwerte zu finden. 
- Letzten Endes zählen die Schätzwerte in den Spalten B bis E nicht, sondern nur jene Werte, die sich in den Spalten rechts davon daraus ergeben. Wenn die Entwicklung dort mit Ihren Vorstellungen übereinstimmt, ist das ein gutes Zeichen für eine gute Schätzung.
</t>
        </r>
      </text>
    </comment>
    <comment ref="D2" authorId="0">
      <text>
        <r>
          <rPr>
            <b/>
            <sz val="9"/>
            <color indexed="81"/>
            <rFont val="Tahoma"/>
            <family val="2"/>
          </rPr>
          <t>Michael Schöggl:</t>
        </r>
        <r>
          <rPr>
            <sz val="9"/>
            <color indexed="81"/>
            <rFont val="Tahoma"/>
            <family val="2"/>
          </rPr>
          <t xml:space="preserve">
- </t>
        </r>
        <r>
          <rPr>
            <u/>
            <sz val="9"/>
            <color indexed="81"/>
            <rFont val="Tahoma"/>
            <family val="2"/>
          </rPr>
          <t>In den hell-orange-rosanen Zellen</t>
        </r>
        <r>
          <rPr>
            <sz val="9"/>
            <color indexed="81"/>
            <rFont val="Tahoma"/>
            <family val="2"/>
          </rPr>
          <t xml:space="preserve"> wurden die Werte von Ihrer Schätzung im Register-Tab "Eigene Schätzung" übernommen.
-</t>
        </r>
        <r>
          <rPr>
            <u/>
            <sz val="9"/>
            <color indexed="81"/>
            <rFont val="Tahoma"/>
            <family val="2"/>
          </rPr>
          <t xml:space="preserve"> In den kräftig orangen Zellen</t>
        </r>
        <r>
          <rPr>
            <sz val="9"/>
            <color indexed="81"/>
            <rFont val="Tahoma"/>
            <family val="2"/>
          </rPr>
          <t xml:space="preserve"> können Sie weitere, zusätzliche Schätzwerte eintragen bzw. die bisherigen Werte durch einen zeitlichen Verlauf (z.B. Wachstum oder Reduktion eines Wertes um x pro Quartal) noch genauer spezifizieren.
- In den anderen </t>
        </r>
        <r>
          <rPr>
            <u/>
            <sz val="9"/>
            <color indexed="81"/>
            <rFont val="Tahoma"/>
            <family val="2"/>
          </rPr>
          <t>Register Tabs</t>
        </r>
        <r>
          <rPr>
            <sz val="9"/>
            <color indexed="81"/>
            <rFont val="Tahoma"/>
            <family val="2"/>
          </rPr>
          <t xml:space="preserve"> mit unseren eigenen Schätzwerten (z.B. "Realistisch", "Vorsichtig", etc.) sind diese zwei Spalten (D, E) leer. Wenn Sie dort Schätzwerte händisch eintragen, überschreiben Sie damit temporär unsere Schätzwerte in den zwei Spalten links davon (B, C). So können Sie auch abseits von Ihren Schätzwerten in "Eigene Schätzung" sehr detallierte eigene Prognosen erstellen. 
- </t>
        </r>
        <r>
          <rPr>
            <u/>
            <sz val="9"/>
            <color indexed="81"/>
            <rFont val="Tahoma"/>
            <family val="2"/>
          </rPr>
          <t>Weißer Hintergrund</t>
        </r>
        <r>
          <rPr>
            <sz val="9"/>
            <color indexed="81"/>
            <rFont val="Tahoma"/>
            <family val="2"/>
          </rPr>
          <t xml:space="preserve">: Die Schätzwerte aus den Spalten D und E (bzw. wenn Sie keine gesetzt haben, aus B und C) werden dann für die Berechnung aller Werte in den Spalten rechts (ab F) übernommen. Jedoch NUR für jene, mit farbigem Hintergrund. Die Zellen ab Spalte F, die weißen Hintergrund haben, verlangen, dass Sie händisch Werte eintragen, für sie wird nicht auf Basis von Formeln und den Schätzwerten von B bis E ein Wert ermittelt. Üblicherweise hat das den Grund, dass für diese Quartale andere Zahlen gelten müssen, z.B., weil die App bis Mitte 2020 (d.h. 1. und 2. Quartal 2020) noch nicht fertiggestellt ist und daher viele Schätzwerte deutlich negativer ausfallen werden, als in den Formeln für die Zeit danach. 
- Eigene Schätzwerte können grundsätzlich überall, im gesamten File, eingetragen werden. Keine Zelle wurde gesperrt. Wenn sich darin aber bereits Formeln befunden haben, würden diese dadurch gelöscht werden. Daher empfehlen wir, eine Sicherungskopie des Files anzulegen, oder nur in einem Tab (z.B: "Ergebnis eigene Schätzung") die Zellen durch eigene Werte zu überschreiben. Oder Sie kopieren einen Register-Tab und arbeiten an der Kopie. 
</t>
        </r>
      </text>
    </comment>
    <comment ref="F2" authorId="0">
      <text>
        <r>
          <rPr>
            <b/>
            <sz val="9"/>
            <color indexed="81"/>
            <rFont val="Tahoma"/>
            <family val="2"/>
          </rPr>
          <t>Michael Schöggl:</t>
        </r>
        <r>
          <rPr>
            <sz val="9"/>
            <color indexed="81"/>
            <rFont val="Tahoma"/>
            <family val="2"/>
          </rPr>
          <t xml:space="preserve">
- By Q3 2020 connect will be in the alpha development phase, where many functions are still missing, usability is poor and our users will therefore jump out again quickly. 
- All values up to Q3 2020 cannot be compared with later values, therefore many were entered manually instead of calculated by formula.</t>
        </r>
      </text>
    </comment>
    <comment ref="G2" authorId="0">
      <text>
        <r>
          <rPr>
            <b/>
            <sz val="9"/>
            <color indexed="81"/>
            <rFont val="Tahoma"/>
            <family val="2"/>
          </rPr>
          <t xml:space="preserve">Michael Schöggl:
- </t>
        </r>
        <r>
          <rPr>
            <sz val="9"/>
            <color indexed="81"/>
            <rFont val="Tahoma"/>
            <family val="2"/>
          </rPr>
          <t>By Q3 2020 connect will be in the alpha development phase, where many functions are still missing, usability is poor and our users will therefore jump out again quickly. 
- All values up to Q3 2020 cannot be compared with later values, therefore many were entered manually instead of calculated by formula.</t>
        </r>
      </text>
    </comment>
    <comment ref="A3" authorId="1">
      <text>
        <r>
          <rPr>
            <b/>
            <sz val="9"/>
            <color indexed="81"/>
            <rFont val="Tahoma"/>
            <family val="2"/>
          </rPr>
          <t xml:space="preserve">e.com:
</t>
        </r>
        <r>
          <rPr>
            <sz val="9"/>
            <color indexed="81"/>
            <rFont val="Tahoma"/>
            <family val="2"/>
          </rPr>
          <t xml:space="preserve">
Für den Erfolg von connect sind vor allem die Userzahlen verantwortlich. 
</t>
        </r>
        <r>
          <rPr>
            <u/>
            <sz val="9"/>
            <color indexed="81"/>
            <rFont val="Tahoma"/>
            <family val="2"/>
          </rPr>
          <t>Wachstumsraten der erfolgreichsten Social Networks</t>
        </r>
        <r>
          <rPr>
            <sz val="9"/>
            <color indexed="81"/>
            <rFont val="Tahoma"/>
            <family val="2"/>
          </rPr>
          <t xml:space="preserve">: 
- im dritten Jahr hatten sie bereits mehr als 4 Millionen User (bis zu 355 Mio - WeChat)
- erst ab ca. 600 Millionen Usern weniger Wachstum als 50 % pro Jahr (davor deutlich mehr)
- siehe "Vergleich Wachstum Mitbewerber" (Register-Tab unten links)
</t>
        </r>
        <r>
          <rPr>
            <b/>
            <sz val="9"/>
            <color indexed="81"/>
            <rFont val="Tahoma"/>
            <family val="2"/>
          </rPr>
          <t xml:space="preserve">
Erklärungen:</t>
        </r>
        <r>
          <rPr>
            <sz val="9"/>
            <color indexed="81"/>
            <rFont val="Tahoma"/>
            <family val="2"/>
          </rPr>
          <t xml:space="preserve">
-</t>
        </r>
        <r>
          <rPr>
            <u/>
            <sz val="9"/>
            <color indexed="81"/>
            <rFont val="Tahoma"/>
            <family val="2"/>
          </rPr>
          <t xml:space="preserve"> Summe A</t>
        </r>
        <r>
          <rPr>
            <sz val="9"/>
            <color indexed="81"/>
            <rFont val="Tahoma"/>
            <family val="2"/>
          </rPr>
          <t xml:space="preserve"> (Zeile 8) zählt alle </t>
        </r>
        <r>
          <rPr>
            <u/>
            <sz val="9"/>
            <color indexed="81"/>
            <rFont val="Tahoma"/>
            <family val="2"/>
          </rPr>
          <t>neuen User</t>
        </r>
        <r>
          <rPr>
            <sz val="9"/>
            <color indexed="81"/>
            <rFont val="Tahoma"/>
            <family val="2"/>
          </rPr>
          <t xml:space="preserve"> abzüglich der Sättigung(!) zusammen, die </t>
        </r>
        <r>
          <rPr>
            <u/>
            <sz val="9"/>
            <color indexed="81"/>
            <rFont val="Tahoma"/>
            <family val="2"/>
          </rPr>
          <t>relativ unabhängig von der bisherigen User-Basis neu zu connect kommen</t>
        </r>
        <r>
          <rPr>
            <sz val="9"/>
            <color indexed="81"/>
            <rFont val="Tahoma"/>
            <family val="2"/>
          </rPr>
          <t xml:space="preserve"> (bezahlte Werbung, Medien-Berichte, organische Suche). Ohne diese Zugänge könnten wir zu Beginn nicht ausreichend viele User aufbauen, um über Summe B (Zeile 14) durch die Nutzung aller bisherigen User für Marketing-Maßnahmen prozentual weiter zu wachsen. 
- </t>
        </r>
        <r>
          <rPr>
            <u/>
            <sz val="9"/>
            <color indexed="81"/>
            <rFont val="Tahoma"/>
            <family val="2"/>
          </rPr>
          <t>Summe B</t>
        </r>
        <r>
          <rPr>
            <sz val="9"/>
            <color indexed="81"/>
            <rFont val="Tahoma"/>
            <family val="2"/>
          </rPr>
          <t xml:space="preserve"> (Zeile 14) zählt alle </t>
        </r>
        <r>
          <rPr>
            <u/>
            <sz val="9"/>
            <color indexed="81"/>
            <rFont val="Tahoma"/>
            <family val="2"/>
          </rPr>
          <t>neuen User</t>
        </r>
        <r>
          <rPr>
            <sz val="9"/>
            <color indexed="81"/>
            <rFont val="Tahoma"/>
            <family val="2"/>
          </rPr>
          <t xml:space="preserve"> abzüglich der Sättigung(!) zusammen, die </t>
        </r>
        <r>
          <rPr>
            <u/>
            <sz val="9"/>
            <color indexed="81"/>
            <rFont val="Tahoma"/>
            <family val="2"/>
          </rPr>
          <t>abhängig von der bisherigen User-Basis neu dazukommen</t>
        </r>
        <r>
          <rPr>
            <sz val="9"/>
            <color indexed="81"/>
            <rFont val="Tahoma"/>
            <family val="2"/>
          </rPr>
          <t xml:space="preserve">. Neben Mundpropaganda (1.5) sind das weitere "Tricks" (1.6 bis 1.9), um unsere bestehenden User als Werbebotschafter verwenden zu können.
- Von Summe A und B müssen dann noch unter 1.11 jene User abgezogen werden, die connect wieder verlassen. Wir rechnen hier mit einem einstellbaren Prozentsatz.
</t>
        </r>
        <r>
          <rPr>
            <b/>
            <sz val="9"/>
            <color indexed="81"/>
            <rFont val="Tahoma"/>
            <family val="2"/>
          </rPr>
          <t>Warum wird connect genauso schnell wie die erfolgreichsten Social Networks wachsen?</t>
        </r>
        <r>
          <rPr>
            <sz val="9"/>
            <color indexed="81"/>
            <rFont val="Tahoma"/>
            <family val="2"/>
          </rPr>
          <t xml:space="preserve">
- Andere Netzwerke wachsen meist nur durch bezahlte Werbung oder Mundpropaganda. 
- connect hat mindestens 4 zusätzliche, </t>
        </r>
        <r>
          <rPr>
            <b/>
            <sz val="9"/>
            <color indexed="81"/>
            <rFont val="Tahoma"/>
            <family val="2"/>
          </rPr>
          <t>einzigartige</t>
        </r>
        <r>
          <rPr>
            <sz val="9"/>
            <color indexed="81"/>
            <rFont val="Tahoma"/>
            <family val="2"/>
          </rPr>
          <t xml:space="preserve"> Zugänge mit multiplikativem</t>
        </r>
        <r>
          <rPr>
            <b/>
            <sz val="9"/>
            <color indexed="81"/>
            <rFont val="Tahoma"/>
            <family val="2"/>
          </rPr>
          <t xml:space="preserve"> Schnellball-Effekt</t>
        </r>
        <r>
          <rPr>
            <sz val="9"/>
            <color indexed="81"/>
            <rFont val="Tahoma"/>
            <family val="2"/>
          </rPr>
          <t xml:space="preserve">: 
- 1.3 Medien-Kooperationen durch die Medienschnittstelle: hunderte bis tausende Medien werden über uns kostenlos berichten, unser Erfolg ist auch ihr Erfolg
- 1.6 Multi-Messenger-Anhänge: durch "sent by connect" verbreitet jeder unserer User in seinem gesamten Kontakte-Netzwerk unseren Namen und erklärt auf Nachfrage hin, was connect ist
- 1.7 Multi-Messenger-Sharings in anderen Netzwerken: die Attraktivität von connect wird in Form von (360-Grad)-Videos und Fotos in allen anderen Netzwerken verbreitet
- 1.9 Initialisierte Mundpropaganda: durch unsere einzigartigen Klingeltöne und das Tresor-Mini-Spiele fallen unsere User in der Öffentlichkeit ständig auf
- connect hat mit Release im Jahr 2020 viel mehr zu bieten, als diese anderen Netzwerke bei ihrem Start (Multi-Media, VR, Video-Telefonie, Verschlüsselung, Individualisierung, virtuelles Eigentum, Spiele, virtuelle Haustiere, Multi-Messenger...)
- connect hebt sich sowohl optisch, als auch funktionell komplett von allen Konkurrenten ab, es gibt nichts Vergleichbares; connect ist technologisch führend und sehr verspielt für junge Menschen (VR, virtuelle Haustiere, individualisierbares Zuhause etc.)
- mit dem Multi-Messenger integriert connect die Stärken der anderen Netzwerke in sich selbst
- connect bietet maximalen Datenschutz, allein das ist ein Nutzungsgrund für Millionen Menschen und im Bereich VR ist das Neuland und von noch größerer Bedeutung (weil intimer, persönlicher)
</t>
        </r>
      </text>
    </comment>
    <comment ref="A4" authorId="1">
      <text>
        <r>
          <rPr>
            <b/>
            <sz val="9"/>
            <color indexed="81"/>
            <rFont val="Tahoma"/>
            <family val="2"/>
          </rPr>
          <t xml:space="preserve">e.com:
- </t>
        </r>
        <r>
          <rPr>
            <sz val="9"/>
            <color indexed="81"/>
            <rFont val="Tahoma"/>
            <family val="2"/>
          </rPr>
          <t>Diese Werte können auch manuell für jedes Quartal extra eingetragen werden, sinnvoller ist aber die Berechnung der Multiplikation aus Kosten pro neuem User (1.0) und der Werbeausgaben. Diese Werte daher am besten nicht manuell überschreiben, sondern indirekt durch die Änderungen in 1.0 und 3.12 erreichen.
- Das besondere an diesem Wert: Wir können ihn fast beliebig durch Werbeausgaben hochtreiben (und die Ausgaben werden mittelfristig deutlich unter den Einnahmen liegen), daher erlaubt er hohe Flexibilität. Selbst, wenn connect wider Erwarten nicht "von selbst" zum viralen Hit wird, durch entsprechende finanzielle Nachhilfe lässt sich der Erfolg mit Sicherheit erzielen. 
- Im Gegensatz zu vielen anderen Produkten und speziell VR-Apps hat connect eine fast unbegrenzte Zielgruppe, weil connect auch in 3D oder 2D und auf jedem Gerät erlebt werden kann und daher als maximale Zielgruppe Milliarden Menschen erreichen kann. Viele Menschen verwenden mehrere Soziale Netzwerke parallel zueinander, weshalb auch die Konkurrenz nicht zwingend unseren Erfolg bremsen muss. 
- Aber natürlich müsste der Marketing-Fokus sich auf die 3D-Versionen beziehen, wenn der VR-Markt "ausgeschöpft" sein sollte. Dieser VR-Markt ist aktuell (Ende 2019) noch sehr klein (rund 10 Mio Menschen), wird aber laut Prognosen in den kommenden 2-3 Jahren enorm anwachsen. In diesem Markt mitzuwachsen erlaubt ein besseres Kosten-Nutzen-Verhältnis, als ein Marketing-Fokus auf Nicht-VR-User (hier ist der Wettbewerb stärker und die Zielgruppe weniger Technik-affin), d.h. ein Wachstum abseits von VR wird teurer werden, aber sich wegen unserer vielen Geschäftsmodelle trotzdem noch lohnen.  
- Vermutlich kommt aber connect genau zum richtigen Zeitpunkt heraus, dass der VR-Markt schneller oder genauso schnell wächst, wie connect und wir den klassischen Social Network Markt auch ohne Marketing-Fokus einfach als Bonus mitnehmen können, ohne uns darauf konzentrieren zu müssen. -</t>
        </r>
      </text>
    </comment>
    <comment ref="B4" authorId="0">
      <text>
        <r>
          <rPr>
            <b/>
            <sz val="9"/>
            <color indexed="81"/>
            <rFont val="Tahoma"/>
            <family val="2"/>
          </rPr>
          <t xml:space="preserve">Michael Schöggl:
Diese Wert bitte in 3.13 einstellen, danke!
</t>
        </r>
        <r>
          <rPr>
            <sz val="9"/>
            <color indexed="81"/>
            <rFont val="Tahoma"/>
            <family val="2"/>
          </rPr>
          <t xml:space="preserve">
</t>
        </r>
        <r>
          <rPr>
            <b/>
            <sz val="9"/>
            <color indexed="81"/>
            <rFont val="Tahoma"/>
            <family val="2"/>
          </rPr>
          <t>Prozentsatz der Einnahmen, die wir pro Monat in bezahlte Werbung stecken.</t>
        </r>
        <r>
          <rPr>
            <sz val="9"/>
            <color indexed="81"/>
            <rFont val="Tahoma"/>
            <family val="2"/>
          </rPr>
          <t xml:space="preserve"> 
</t>
        </r>
        <r>
          <rPr>
            <u/>
            <sz val="9"/>
            <color indexed="81"/>
            <rFont val="Tahoma"/>
            <family val="2"/>
          </rPr>
          <t>Begründung für diesen Wert:</t>
        </r>
        <r>
          <rPr>
            <sz val="9"/>
            <color indexed="81"/>
            <rFont val="Tahoma"/>
            <family val="2"/>
          </rPr>
          <t xml:space="preserve">
- Dieser Wert hängt natürlich davon ab, wie viel uns jeder neue User tatsächlich kostet und ein Einnahmen bringt. 
- Auf Basis der aktuellen Schätzwerte ist klar, dass jeder User sehr rasch deutlich mehr Geld einbringt, als er kostet - weshalb es solange Sinn für uns macht, möglichst viel Geld in Werbung zu stecken, solange wir ein gutes Verhältnis der Kosten pro neuem User aufrechterhalten können. 
- Irgendwann sind bestimmte Marketingkanäle oder die Zielgruppe erschöpft und bei anderen Zugängen sind die Kosten pro neuem User höher, eventuell zu hoch. Darum gibt es in der Spalte rechts auch einen Grenzwert, wie viel Geld wir maximal pro Monat in bezahlte Werbung stecken sollten.
- Dieser Wert ist absichtlich ein Prozentwert von den Einnahmen, weil wir damit nicht riskieren würden, uns zu stark zu verschulden. 
- Mit entsprechendem Investment könnten wir natürlich auch unabhängig von den Einnahmen deutlich mehr Geld für bezahlte Werbung ausgeben und viel schneller wachsen. Wie die Zahlen in dieser Tabelle und bei vergleichbaren, erfolgreichen Social Networks zeigen (die teilweise Wachstumsraten von mehr als 500% pro Jahr haben - über die ersten 2-4 Jahre hinweg), entwicklen sich die Einnahmen und Userzahlen fast exponentiell, was bedeutet, dass es durchaus Sinn machen würde, den Start gewaltig zu beschleunigen, weil wir dann auch viel schneller in die schwarzen Zahlen kommen. 
- Weil wir x % der Einnahmen in Werbung investieren, ist die Entwicklung der Userzahlen "noch" exponentieller als ohnehin schon, schließlich bekommen wir durch mehr User mehr Einnahmen und investieren einen Teil dieser Einnahmen wieder in die Akquise neuer User. Der Kreislauf dreht sich immer schneller.</t>
        </r>
      </text>
    </comment>
    <comment ref="C4" authorId="0">
      <text>
        <r>
          <rPr>
            <b/>
            <sz val="9"/>
            <color indexed="81"/>
            <rFont val="Tahoma"/>
            <family val="2"/>
          </rPr>
          <t>Michael Schöggl:
Diesen Wert bitte in 3.13 einstellen, danke.</t>
        </r>
        <r>
          <rPr>
            <sz val="9"/>
            <color indexed="81"/>
            <rFont val="Tahoma"/>
            <family val="2"/>
          </rPr>
          <t xml:space="preserve">
</t>
        </r>
        <r>
          <rPr>
            <b/>
            <sz val="9"/>
            <color indexed="81"/>
            <rFont val="Tahoma"/>
            <family val="2"/>
          </rPr>
          <t xml:space="preserve">Obergrenze. Wieviel € sollen maximalen pro Monat für Werbung ausgegeben werden?
</t>
        </r>
        <r>
          <rPr>
            <u/>
            <sz val="9"/>
            <color indexed="81"/>
            <rFont val="Tahoma"/>
            <family val="2"/>
          </rPr>
          <t>Begründung für diesen Wert</t>
        </r>
        <r>
          <rPr>
            <sz val="9"/>
            <color indexed="81"/>
            <rFont val="Tahoma"/>
            <family val="2"/>
          </rPr>
          <t xml:space="preserve">:
- Es lassen sich nicht unbegrenzt viele Menschen monatlich mit bezahlter Werbung erreichen, ohne dass die Kosten pro neuem User durch Ineffizienz der Werbezugänge deutlich ansteigen. 
- Der Wert mit 10.000.000 € ist extrem hoch gewählt, weil es für ein Produkt wie connect a.) extrem viele verschiedene Möglichkeiten gibt, effektiv Werbung zu machen, und wir b.) bei den aktuellen Schätzungen auch genügend finanzielle Mittel hätten, um die besten Marketing-Profis weltweit einsetzen zu können.
- Solange uns jeder neue User weniger kostet, als er (mittelfristig) bringt, lohnt es sich, so viel Geld wie möglich in Werbung und Wachstum zu stecken. </t>
        </r>
        <r>
          <rPr>
            <sz val="9"/>
            <color indexed="81"/>
            <rFont val="Tahoma"/>
            <family val="2"/>
          </rPr>
          <t xml:space="preserve">
</t>
        </r>
      </text>
    </comment>
    <comment ref="A5" authorId="1">
      <text>
        <r>
          <rPr>
            <b/>
            <sz val="9"/>
            <color indexed="81"/>
            <rFont val="Tahoma"/>
            <family val="2"/>
          </rPr>
          <t xml:space="preserve">e.com:
</t>
        </r>
        <r>
          <rPr>
            <sz val="9"/>
            <color indexed="81"/>
            <rFont val="Tahoma"/>
            <family val="2"/>
          </rPr>
          <t xml:space="preserve">
- Unser Ziel wird es sein, im App-Store-Ranking und auch bei Steam in den Listen ganz weit oben zu landen. Wenn uns das gelingt, erreichen wir allein über die organische Suche (weil connect kostenlos und neuartig ist) zuverlässig tausende neue User pro Monat.
- Bereits wenige Wochen nach der stillen Veröffentlichung - mit einer unfertigen Version, ohne jegliche Marketing-Maßnahmen oder ernste App-Store-Optimierungen wird connect von rund 2000 neuen Usern pro Monat auf Steam heruntergeladen, auch wenn die App als Early Access in praktisch keiner Liste auftaucht (das ändert sich mit dem Release 2020). 
- Auch im Google Play Store erhalten wir täglich zwischen 10 und 50 Downloads, Tendenz steigend. 
- connect wird auch für PlayStation (VR) veröffentlicht und dort ganz sicher - mangels Konkurrenz und weil es kostenlos ist - von den bestehenden rund 400.000 neuen PlayStation-VR-Usern pro Quartal (Tendenz stark steigend) einen mindestens 1-3%igen Anteil der User erreichen können - ohne Werbekosten. Gerade die PlayStation hat ein gewaltiges Potential, weil es hier praktisch keine Alternativen gibt - auch nicht in absehbarer Zukunft. Schon gar keinen Multimessenger, mit dem man Mails, FB-Nachrichten, SMS und mehr schreiben kann. 
- Die Organische Suche über App-Store-Ranking reicht bei manchen Spielen aus, um in wenigen Monaten hunderttausende neue User zu erreichen. Wir werden einen großen Fokus darauf legen, in all diesen "Stores" (für alle unterstütze Geräte) maximale Sichtbarkeit zu erzielen. Die Schätzwerte hier sind also überaus vorsichtig, da connect kostenlos ist, könnte hier deutlich mehr Schwung reinkommen, sobald wir im Ranking ganz oben sind. </t>
        </r>
      </text>
    </comment>
    <comment ref="B5" authorId="0">
      <text>
        <r>
          <rPr>
            <b/>
            <sz val="9"/>
            <color indexed="81"/>
            <rFont val="Tahoma"/>
            <family val="2"/>
          </rPr>
          <t xml:space="preserve">Michael Schöggl:
</t>
        </r>
        <r>
          <rPr>
            <sz val="9"/>
            <color indexed="81"/>
            <rFont val="Tahoma"/>
            <family val="2"/>
          </rPr>
          <t xml:space="preserve">
</t>
        </r>
        <r>
          <rPr>
            <b/>
            <sz val="9"/>
            <color indexed="81"/>
            <rFont val="Tahoma"/>
            <family val="2"/>
          </rPr>
          <t>Um welchen Fixwert steigert sich die Anzahl der neuen User durch organische Suche pro Quartal?</t>
        </r>
        <r>
          <rPr>
            <sz val="9"/>
            <color indexed="81"/>
            <rFont val="Tahoma"/>
            <family val="2"/>
          </rPr>
          <t xml:space="preserve">
</t>
        </r>
        <r>
          <rPr>
            <u/>
            <sz val="9"/>
            <color indexed="81"/>
            <rFont val="Tahoma"/>
            <family val="2"/>
          </rPr>
          <t>Begründung für diesen Wert</t>
        </r>
        <r>
          <rPr>
            <sz val="9"/>
            <color indexed="81"/>
            <rFont val="Tahoma"/>
            <family val="2"/>
          </rPr>
          <t>:
- Die Steigerung liegt u.a. daran, dass wir im Ranking weiter aufsteigen, je mehr Downloads wir erhalten und dadurch viel einfacher zu finden sind. Außerdem werden wir unseren App-Store-Auftritt optimieren (ASO) (u.a. weil wir zunehmend mehr Geld und damit auch Möglichkeiten in durch Outsourcing-Profis haben).
- Für mehr Argumente siehe Spalte rechts.</t>
        </r>
      </text>
    </comment>
    <comment ref="C5" authorId="0">
      <text>
        <r>
          <rPr>
            <b/>
            <sz val="9"/>
            <color indexed="81"/>
            <rFont val="Tahoma"/>
            <family val="2"/>
          </rPr>
          <t xml:space="preserve">Michael Schöggl:
</t>
        </r>
        <r>
          <rPr>
            <sz val="9"/>
            <color indexed="81"/>
            <rFont val="Tahoma"/>
            <family val="2"/>
          </rPr>
          <t xml:space="preserve">
</t>
        </r>
        <r>
          <rPr>
            <b/>
            <sz val="9"/>
            <color indexed="81"/>
            <rFont val="Tahoma"/>
            <family val="2"/>
          </rPr>
          <t>Um wie viel Prozent erhöht sich der Wert pro Quartal?</t>
        </r>
        <r>
          <rPr>
            <sz val="9"/>
            <color indexed="81"/>
            <rFont val="Tahoma"/>
            <family val="2"/>
          </rPr>
          <t xml:space="preserve">
</t>
        </r>
        <r>
          <rPr>
            <u/>
            <sz val="9"/>
            <color indexed="81"/>
            <rFont val="Tahoma"/>
            <family val="2"/>
          </rPr>
          <t>Begründung für diesen Wert</t>
        </r>
        <r>
          <rPr>
            <sz val="9"/>
            <color indexed="81"/>
            <rFont val="Tahoma"/>
            <family val="2"/>
          </rPr>
          <t xml:space="preserve">:
- Die Steigerung wird nicht linear sein (also immer um einen Fixwert pro Quartal mehr), sondern umso stärker zunehmen, je bekannter die App wird und umso weiter sie auch im Ranking aufsteigt. 
- Wenn wir z.B. unter den Top 10 landen, dürfen wir allein dadurch mit Millionen Views pro Monat rechnen und insofern auch problemlos mit mehreren tausend neuen Usern. 
- Bis Ende 2022 sollte uns ein Platz unter den Top 10 für einige wichtige Keywords bzw. Kategorien gelingen. Mit entsprechendem Kapital lässt sich das aber schon viel früher erreichen.
- Wir werden einen starken Fokus auf App-Store-Optimierung legen und auch Zeit und Geld investieren, um auf möglichst vielen Plattformen möglichst einfach gefunden zu werden. Diese Investments sind primär Personalkosten (3.2), weshalb sich eine eigene Darstellung hier nicht lohnt.
- Umso vielseitiger connect (funktionell) wird, umso mehr Keywords passen für die organische Suche und umso höher steigen wir auch bei neuen Keywords im Ranking auf. 
- Wenn Partner oder Medien auf uns mit Links verweisen, beeinflußt das unser Ranking ebenso positiv. 
- Wir werden auch später Usern für (positive) Bewertungen In-App-Gegenleistungen geben, je positiver die Bewertung, umso höher steigen wir im Ranking. 
- Je mehr Downloads wir bereits erzielt haben, umso höher steigen wir im Ranking und umso mehr finden uns durch organische Suche.
- Unser CTO hat ganz alleine Apps programmiert, die mehr als 600 User </t>
        </r>
        <r>
          <rPr>
            <i/>
            <sz val="9"/>
            <color indexed="81"/>
            <rFont val="Tahoma"/>
            <family val="2"/>
          </rPr>
          <t>pro Tag</t>
        </r>
        <r>
          <rPr>
            <sz val="9"/>
            <color indexed="81"/>
            <rFont val="Tahoma"/>
            <family val="2"/>
          </rPr>
          <t xml:space="preserve"> an Downloads ohne irgendwelche Marketing-Maßnahmen allein aufgrund der organischen Suche verzeichnen (d.h. 18.000 im Monat). Unsere Werte hier sind sehr bescheiden.</t>
        </r>
      </text>
    </comment>
    <comment ref="A6" authorId="1">
      <text>
        <r>
          <rPr>
            <b/>
            <sz val="9"/>
            <color indexed="81"/>
            <rFont val="Tahoma"/>
            <family val="2"/>
          </rPr>
          <t xml:space="preserve">e.com:
Violette Marketing-Zugänge sind neuartige Konzepte von connect, die anderen Social Networks nicht zur Verfügung standen, oder zumindest nicht in diesem Ausmaß </t>
        </r>
        <r>
          <rPr>
            <sz val="9"/>
            <color indexed="81"/>
            <rFont val="Tahoma"/>
            <family val="2"/>
          </rPr>
          <t>(z.B. Medien direkt zur Berichterstattung zu motivieren (1.3) bzw. Usern für das Werben neuer User eine interessante Belohnung in Form von limitierten, exklusive In-App-Inhalten wie virtuellen Haustieren, etc. zu geben, die sie auch wirklich wollen (1.8))</t>
        </r>
        <r>
          <rPr>
            <b/>
            <sz val="9"/>
            <color indexed="81"/>
            <rFont val="Tahoma"/>
            <family val="2"/>
          </rPr>
          <t xml:space="preserve">. 
</t>
        </r>
        <r>
          <rPr>
            <sz val="9"/>
            <color indexed="81"/>
            <rFont val="Tahoma"/>
            <family val="2"/>
          </rPr>
          <t xml:space="preserve">
- Ab Q3 in 2020 ist connect fertig und wir werden bis dahin aufgebaute Medien-Kooperationen nutzen, um connect durch Berichterstattung bekannt zu machen.
- Bis dahin werden wir auch genügend Testuser haben, um den Medien unser Thema als berichtenswert zu verkaufen. 
- Manche Medien erreichen Millionen Menschen, wir haben die Kontaktdaten von 200.000 Medien weltweit, denen wir anbieten können, unsere Medienschnittstelle kostenlos verwenden zu können, wenn sie dafür über uns berichten. 
- Zu Beginn wird das Interesse zaghaft sein, aber wenn wir ein paar größere Medien durch persönliche Bemühungen überzeugen konnten, werden rasch immer mehr Medie mehr auf den "Zug aufspringen" und sich die kostenlose Schnittstelle durch Berichterstattung sichern.
- Die Medien müssen regelmäßig für die Schjnittstelle berichten und langfristig werden fast alle Medien ein Interesse haben, weil wir kostenlose neue Kunden bringen, über ein bereits an Fahrt gewinnendes neues Social Network in VR (bzw. die Verwirklichung von Träumen) zu berichten.</t>
        </r>
      </text>
    </comment>
    <comment ref="B6" authorId="0">
      <text>
        <r>
          <rPr>
            <b/>
            <sz val="9"/>
            <color indexed="81"/>
            <rFont val="Tahoma"/>
            <family val="2"/>
          </rPr>
          <t>Michael Schöggl:</t>
        </r>
        <r>
          <rPr>
            <sz val="9"/>
            <color indexed="81"/>
            <rFont val="Tahoma"/>
            <family val="2"/>
          </rPr>
          <t xml:space="preserve">
</t>
        </r>
        <r>
          <rPr>
            <b/>
            <sz val="9"/>
            <color indexed="81"/>
            <rFont val="Tahoma"/>
            <family val="2"/>
          </rPr>
          <t>Von wievielen neuen Usern durch Medienberichte gehen wir zu Beginn aus?</t>
        </r>
        <r>
          <rPr>
            <sz val="9"/>
            <color indexed="81"/>
            <rFont val="Tahoma"/>
            <family val="2"/>
          </rPr>
          <t xml:space="preserve"> (danach nur noch prozentuale Steigerung)
</t>
        </r>
        <r>
          <rPr>
            <u/>
            <sz val="9"/>
            <color indexed="81"/>
            <rFont val="Tahoma"/>
            <family val="2"/>
          </rPr>
          <t>Begründung für diesen Wert:</t>
        </r>
        <r>
          <rPr>
            <sz val="9"/>
            <color indexed="81"/>
            <rFont val="Tahoma"/>
            <family val="2"/>
          </rPr>
          <t xml:space="preserve">
- 100 neue User pro Monat durch Medienberichte sind realistisch, das entspricht ca. 1-2 kleineren Berichten im Monat. Wir haben bereits fixe Zusagen von z.B. der Antenne Steiermark und Kärnten, dass sie mehrmals über uns berichten wollen. 
- Auch gab es vor Veröffentlichung der ersten Testversionen bereits ca. 30 Medienberichte über uns, u.a. vom ORF, Kleine Zeitung, Der Standard, OE24 (3 Berichte) und KroneHit. Leider waren all diese Medienberichte zu früh, die Interessierten hatten noch keine App, die sie probieren konnten, teilweise noch nicht einmal einen Homepage-Link. Wir warten nun absichtlich, bis connect einen guten Eindruck bei allen Testern hinterlässt, bevor wir erneut Zeit und Energie in die Medienberichterstattung stecken. Durch unsere Medienschnittstelle werden wir sehr leicht Berichterstattung erhalten, sobald connect fertiggestellt ist und ein positives Kundenerlebnis gewährleistet.
- Die Kronenzeitung und die Kleine Zeitung haben einer (weiteren) Berichterstattung bereits zugesagt. Rund 15 kleinere VR-Netzwerke haben bereits (lange vor einer testbaren Version und somit fast wirkungslos) berichtet und werden ziemlich sicher wieder berichten.
</t>
        </r>
      </text>
    </comment>
    <comment ref="C6" authorId="0">
      <text>
        <r>
          <rPr>
            <b/>
            <sz val="9"/>
            <color indexed="81"/>
            <rFont val="Tahoma"/>
            <family val="2"/>
          </rPr>
          <t>Michael Schöggl:</t>
        </r>
        <r>
          <rPr>
            <sz val="9"/>
            <color indexed="81"/>
            <rFont val="Tahoma"/>
            <family val="2"/>
          </rPr>
          <t xml:space="preserve">
</t>
        </r>
        <r>
          <rPr>
            <b/>
            <sz val="9"/>
            <color indexed="81"/>
            <rFont val="Tahoma"/>
            <family val="2"/>
          </rPr>
          <t>Um wieviel Prozent der aktuellen Userzahl steigen die neuen User durch Medienberichte pro Monat?</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eher werden Medien über uns berichten wollen. 
- Je mehr User wir haben, umso mehr Medien werden an unserer Medienschnittstelle interessiert sein (und berichten, um sie kostenlos verwenden zu können). 
- Folglich wird dieser Wert auch ohne Kosten für uns mit unserer User-Basis mit anwachsen. 
- 2 % Wachstum pro Monat bedeutet, dass durch die Berichterstattung der Medien unsere Userzahl pro Jahr um nicht ganz 25 % wächst. 
- Dieser Wert ist womöglich viel zu pessimistisch, da es viele Soziale Netzwerke, Spiele oder Trends gibt, die innerhalb kürzester Zeit (nachdem die Medien über sie berichten) "explodieren" (d.h. mehrere hundert bis tausend Prozent Wachstum pro Jahr, bis sie eine gewisse Größe erreicht haben und es keine Zielgruppe mehr für sie gibt). Siehe z.B. Pokemon Go. 
- Im Gegensatz zu anderen Netzwerken bieten wir den Medien für ihre Berichterstattung eine Gegenleistung durch unsere Medienschnittstelle und lassen sie an unserem Erfolg teilhaben.</t>
        </r>
      </text>
    </comment>
    <comment ref="A7" authorId="1">
      <text>
        <r>
          <rPr>
            <b/>
            <sz val="9"/>
            <color indexed="81"/>
            <rFont val="Tahoma"/>
            <family val="2"/>
          </rPr>
          <t xml:space="preserve">e.com:
</t>
        </r>
        <r>
          <rPr>
            <sz val="9"/>
            <color indexed="81"/>
            <rFont val="Tahoma"/>
            <family val="2"/>
          </rPr>
          <t xml:space="preserve">
- Ab 2021 sollten wir genügend User haben, um für Product Placement Partner, Medien-Partner, Online-Shops und Drittanbieter interessant genug zu sein. 
- Ab diesem Zeitpunkt werden diese Anbieter auf ihre eigenen Leistungen in connect hinweisen und dadurch indirekt für uns Werbung machen. Primär gilt dies natürlich für Drittanbieter und verknüpfte Online-Shops, Medien-Berichterstattung wird unter 1.3 extra angeführt und Product Placement Partner werden weniger aktiv sein.</t>
        </r>
      </text>
    </comment>
    <comment ref="B7" authorId="0">
      <text>
        <r>
          <rPr>
            <b/>
            <sz val="9"/>
            <color indexed="81"/>
            <rFont val="Tahoma"/>
            <family val="2"/>
          </rPr>
          <t>Michael Schöggl:</t>
        </r>
        <r>
          <rPr>
            <sz val="9"/>
            <color indexed="81"/>
            <rFont val="Tahoma"/>
            <family val="2"/>
          </rPr>
          <t xml:space="preserve">
</t>
        </r>
        <r>
          <rPr>
            <b/>
            <sz val="9"/>
            <color indexed="81"/>
            <rFont val="Tahoma"/>
            <family val="2"/>
          </rPr>
          <t xml:space="preserve">Von wievielen neuen Usern durch die Werbung unserer Partner </t>
        </r>
        <r>
          <rPr>
            <sz val="9"/>
            <color indexed="81"/>
            <rFont val="Tahoma"/>
            <family val="2"/>
          </rPr>
          <t>(u.a. Online-Shopping, VR-Shops, Drittanbieter, etc.)</t>
        </r>
        <r>
          <rPr>
            <b/>
            <sz val="9"/>
            <color indexed="81"/>
            <rFont val="Tahoma"/>
            <family val="2"/>
          </rPr>
          <t xml:space="preserve"> gehen wir zu Beginn aus?</t>
        </r>
        <r>
          <rPr>
            <sz val="9"/>
            <color indexed="81"/>
            <rFont val="Tahoma"/>
            <family val="2"/>
          </rPr>
          <t xml:space="preserve"> (danach nur noch prozentuale Steigerung)
</t>
        </r>
        <r>
          <rPr>
            <u/>
            <sz val="9"/>
            <color indexed="81"/>
            <rFont val="Tahoma"/>
            <family val="2"/>
          </rPr>
          <t>Begründung für diesen Wert:</t>
        </r>
        <r>
          <rPr>
            <sz val="9"/>
            <color indexed="81"/>
            <rFont val="Tahoma"/>
            <family val="2"/>
          </rPr>
          <t xml:space="preserve">
- Im Gegenzug zu günstigeren Konditionen könnten unsere Partner indirekt für uns werben (z.B. indem sie darauf hinweisen, dass ihre Produkte auch in einem VR-Shop - erreichbar z.B. über connect - gekauft werden können). 
- Drittanbieter werden automatisch auf uns verweisen müssen, um ihre Inhalte verkaufen zu können. 
- Wenn connect erfolgreich wird, werden ähnlich wie bei anderen Netzwerken viele Unternehmen in ihrem Erfolg von uns abhängig - somit werden wir automatisch auch zum Thema von Gesprächen oder Öffentlichkeitsarbeit etc. gemacht.
- Wir rechnen ohnehin erst ab 2021 mit Partnern (auch wenn es bereits fast ein Dutzend konkrete Interessenten gibt), bis dahin ist ein Startwert von 100 sehr realistisch.
- Dieser Wert hast praktisch keine Bedeutung, die Steigerung basiert nur auf dem prozentualen Wert, dieser Wert fließt nur insofern ein, dass er jeden Monat als "Fixwert" miteinfließt.</t>
        </r>
      </text>
    </comment>
    <comment ref="C7" authorId="0">
      <text>
        <r>
          <rPr>
            <b/>
            <sz val="9"/>
            <color indexed="81"/>
            <rFont val="Tahoma"/>
            <family val="2"/>
          </rPr>
          <t xml:space="preserve">Michael Schöggl:
</t>
        </r>
        <r>
          <rPr>
            <sz val="9"/>
            <color indexed="81"/>
            <rFont val="Tahoma"/>
            <family val="2"/>
          </rPr>
          <t xml:space="preserve">
</t>
        </r>
        <r>
          <rPr>
            <b/>
            <sz val="9"/>
            <color indexed="81"/>
            <rFont val="Tahoma"/>
            <family val="2"/>
          </rPr>
          <t>Um wieviel Prozent der aktuellen Userzahl steigen die neuen User durch Medienberichte pro Monat?</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mehr Partner haben wir und umso stärker kommen wir automatisch ins Gespräch oder rücken in die Öffentlichkeit. 
- Vor allem Drittanbieter und VR-Shops sind von uns abhängig, wenn sie für die eigenen Angebote werben wollen, müssen sie indirekt auch für uns werben. Denn kaum ein User lädt eine eigene App herunter, um z.B. im VR-Shop eines regionalen Unternehmens (das er nicht einmal kennt) virtuell einkaufen gehen zu können.
- Ein Wachstum von 0,4 % pro Monat entspricht knapp 5 % Wachstum der gesamten Userzahl pro Jahr aufgrund der indirekten Werbung unserer Partner.
- Wenn Drittanbieter Inhalte anbieten (z.B. virtuelle Haustiere oder alternative VR-Szenen wie das Piratenschiff aus Fluch der Karibik), die sich nur in Verbindung mit connect verwenden lassen (was wir durch Exklusiv-Verträge steigern können), dann muss sich jeder, der diese Inhalte will, zuvor connect holen.</t>
        </r>
      </text>
    </comment>
    <comment ref="A8"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Für eine realistische Einschätzung der Userzahlen-Entwicklung müssen wir von einer Sättigung der Zielgruppe ausgehen, bzw. von einer Zielgruppen-Obergrenze. </t>
        </r>
        <r>
          <rPr>
            <sz val="9"/>
            <color indexed="81"/>
            <rFont val="Tahoma"/>
            <family val="2"/>
          </rPr>
          <t xml:space="preserve">
</t>
        </r>
        <r>
          <rPr>
            <u/>
            <sz val="9"/>
            <color indexed="81"/>
            <rFont val="Tahoma"/>
            <family val="2"/>
          </rPr>
          <t>Wir verwenden 2 Werte</t>
        </r>
        <r>
          <rPr>
            <sz val="9"/>
            <color indexed="81"/>
            <rFont val="Tahoma"/>
            <family val="2"/>
          </rPr>
          <t xml:space="preserve">:
- maximale Zielgruppe bis Ende 2020: Primär VR-User (und Gamer für die 3D-Nutzung), weil sich unser Marketing auf diese Zielgruppe konzentriert; natürlich können wir aber auch darüber hinaus Menschen ansprechen.
- maximale Zielgruppe ab 2021: Alle Social Media bzw. Network und Messenger Nutzer, jedoch nur jene, für die connect - auch OHNE den virtuellen Raum - einen ausreichend großen Mehrwert bietet (Multi-Messenger, Datenschutz, Multimedia, Geräteunabhängigkeit, etc.), schließlich haben wir Konkurrenz und unser Produkt wird selbst dann, wenn wir alles individualisierbar machen und verschiedene Versionen rausbringen, niemals alle Menschen ansprechen können
</t>
        </r>
        <r>
          <rPr>
            <u/>
            <sz val="9"/>
            <color indexed="81"/>
            <rFont val="Tahoma"/>
            <family val="2"/>
          </rPr>
          <t>Erklärung zu den Auswirkungen dieser Werte</t>
        </r>
        <r>
          <rPr>
            <sz val="9"/>
            <color indexed="81"/>
            <rFont val="Tahoma"/>
            <family val="2"/>
          </rPr>
          <t xml:space="preserve">:
- Die Berechnung erfolgt so, dass je stärker sich unsere Userzahlen diesen Grenzwerten nähern, die Akquise neuer User umso unwahrscheinlicher wird.
- Bei 0 Usern und einer Grenze von 300, ist die Akquise-Rate bei 100%. 
- Bei 200 Usern und einer Grenze von 300, ist sie nur noch bei 0,33%.
- Alle Wachstumswerte (bis auf die negativen Absprünge, siehe 1.11) sind von diesem Multiplikator betroffen und sinken entsprechend der Annäherung zur Zielgruppen-Obergrenze immer stärker Richtung 0.
- Diese Berechnungen sind absichtlich sehr vorsichtig und limitierend. Eigentlich wächst der VR Markt laut Prognosen stark an und genau genommen könnten wir langfristig durchaus 2 Milliarden Menschen, bzw. bereits 2021 eine Zielgruppe abseits der VR-User erreichen. Aber unsere Werte sind zu gut um glaubwürdig zu sein, wenn sie nicht mit so einer Obergrenze gebremst werden, daher dieses Korrektiv.
</t>
        </r>
      </text>
    </comment>
    <comment ref="B8" authorId="0">
      <text>
        <r>
          <rPr>
            <b/>
            <sz val="9"/>
            <color indexed="81"/>
            <rFont val="Tahoma"/>
            <family val="2"/>
          </rPr>
          <t xml:space="preserve">Michael Schöggl:
Wie groß ist unsere </t>
        </r>
        <r>
          <rPr>
            <b/>
            <i/>
            <sz val="9"/>
            <color indexed="81"/>
            <rFont val="Tahoma"/>
            <family val="2"/>
          </rPr>
          <t>primäre</t>
        </r>
        <r>
          <rPr>
            <b/>
            <sz val="9"/>
            <color indexed="81"/>
            <rFont val="Tahoma"/>
            <family val="2"/>
          </rPr>
          <t xml:space="preserve"> Zielgruppe, die wir bis Ende 2020 erreichen können? - </t>
        </r>
        <r>
          <rPr>
            <b/>
            <u/>
            <sz val="9"/>
            <color indexed="81"/>
            <rFont val="Tahoma"/>
            <family val="2"/>
          </rPr>
          <t>Bezogen auf Werbezugänge und Medienberichte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Zu Beginn Fokus auf VR-User, weil wir diesen den größten Mehrwert bieten und Gamer eine sehr dankbare, zahlkräftige Zielgruppe sind. 2019 sind das mindestens 10 Millionen User weltweit, die wir über unsere aktuell unterstützten Geräte (Android, HTC Vive, Oculus) und Plattformen (Play Store und Steam) erreichen können.
- Bis Mitte 2020: Fertigstellung der "connect Basic"-Version, d.h. einer nativen Android und iOS Version von connect, die dieselben Funktionen umfasst, aber in einem simplen 2D-Design (vlg. WhatsApp und Co). Diese Version unterstützt dann wirklich alle Smartphones und läuft genauso schnell, wie WhatsApp und Co, mit Fokus auf Multi-Messenger, Multimedia und Verschlüsselung zielt sie auf den konservativeren, weniger verspielten Massenmarkt ab, bis VR sich endgültig durchgesetzt hat.
- Bis Mitte 2020: Fertigstellung der PlayStation-Version und der iOS-Version.
- Bis Ende 2020: Fertigstellung des Multi-Messengers für alle Geräte (inklusive PlayStation und iOS) und alle größeren Netzwerke (u.a. zusätzlich WhatsApp, WeChat, Snapchat, Skype, Twitter, Instagram etc.). 
- Ab 2021 Fokus auf neue Zielgruppe: alle Social Network / Messenger-User weltweit; bis dahin haben wir genug Funktionen (z.B. Multi-Messenger) und Inhalte (z.B. Medien-Inhalte der Partner) um auch den Massenmarkt anzusprechen. Unsere bisherigen VR-/3D-User werden als treue Fans zu Mundpropaganda motiviert (siehe 1.7 bis 1.9).
</t>
        </r>
      </text>
    </comment>
    <comment ref="C8" authorId="0">
      <text>
        <r>
          <rPr>
            <b/>
            <sz val="9"/>
            <color indexed="81"/>
            <rFont val="Tahoma"/>
            <family val="2"/>
          </rPr>
          <t>Michael Schöggl:</t>
        </r>
        <r>
          <rPr>
            <sz val="9"/>
            <color indexed="81"/>
            <rFont val="Tahoma"/>
            <family val="2"/>
          </rPr>
          <t xml:space="preserve">
</t>
        </r>
        <r>
          <rPr>
            <b/>
            <sz val="9"/>
            <color indexed="81"/>
            <rFont val="Tahoma"/>
            <family val="2"/>
          </rPr>
          <t xml:space="preserve">
Wie groß ist unsere </t>
        </r>
        <r>
          <rPr>
            <b/>
            <i/>
            <sz val="9"/>
            <color indexed="81"/>
            <rFont val="Tahoma"/>
            <family val="2"/>
          </rPr>
          <t>primäre</t>
        </r>
        <r>
          <rPr>
            <b/>
            <sz val="9"/>
            <color indexed="81"/>
            <rFont val="Tahoma"/>
            <family val="2"/>
          </rPr>
          <t xml:space="preserve"> Zielgruppe, die wir ab 2020 erreichen können? - </t>
        </r>
        <r>
          <rPr>
            <b/>
            <u/>
            <sz val="9"/>
            <color indexed="81"/>
            <rFont val="Tahoma"/>
            <family val="2"/>
          </rPr>
          <t>Bezogen auf Werbezugänge und Medienberichte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Das internationale Interesse an Social Networks, Social Media, Messenger, VR, neuen Technologien und Apps ist sehr groß, gerade auch was Medienberichte oder die organische Suche im App-Store etc. betrifft. Daher sollte hier genügend "Luft nach oben" für unsere Werbezugänge 1.1 bis 1.4 sein. 
- Wir können langfristig fast allen Medien (Video, Audio, Print, Internet, VR - für praktisch jedes Thema) durch unseren VR-Zugang - bzw. die klassische 2D-Anzeige in einer Multimedia-App - etwas bieten und sie daher auch zur Berichterstattung motivieren.
- Trotzdem werden die Werte realistischer, wenn wir eine Obergrenze von rund 300 Millionen festlegen, da dies ungefähr die Anzahl der Menschen ist, denen connect einen ausreichend großen Mehrwert bietet und die wir mit unserem Design und unseren Funktionen ansprechen. 
- Diese "Bremse" ist aber eigentlich nicht notwendig, denn mit neuen Versionen (z.B. ohne 3D, als klassische 2D-Variante), mehr unterstützten Geräten, maximaler Individualisierbarkeit und zukünftigen, neuen, noch nicht beschriebenen Funktionen können wir unsere Zielgruppe bestimmt schneller weitern, als wir wachsen.</t>
        </r>
      </text>
    </comment>
    <comment ref="J8" authorId="0">
      <text>
        <r>
          <rPr>
            <b/>
            <sz val="9"/>
            <color indexed="81"/>
            <rFont val="Tahoma"/>
            <family val="2"/>
          </rPr>
          <t xml:space="preserve">Michael Schöggl:
</t>
        </r>
        <r>
          <rPr>
            <sz val="9"/>
            <color indexed="81"/>
            <rFont val="Tahoma"/>
            <family val="2"/>
          </rPr>
          <t xml:space="preserve">
Summe neue User durch 1.1 bis 1.4 </t>
        </r>
        <r>
          <rPr>
            <u/>
            <sz val="9"/>
            <color indexed="81"/>
            <rFont val="Tahoma"/>
            <family val="2"/>
          </rPr>
          <t>pro Jahr</t>
        </r>
        <r>
          <rPr>
            <sz val="9"/>
            <color indexed="81"/>
            <rFont val="Tahoma"/>
            <family val="2"/>
          </rPr>
          <t>. Die Werte links davon sind pro Monat und nicht pro Quartal, das hier ist also nicht die Summe der Werte links, sondern das Jahresergebnis.</t>
        </r>
      </text>
    </comment>
    <comment ref="A9" authorId="1">
      <text>
        <r>
          <rPr>
            <b/>
            <sz val="9"/>
            <color indexed="81"/>
            <rFont val="Tahoma"/>
            <family val="2"/>
          </rPr>
          <t xml:space="preserve">e.com:
</t>
        </r>
        <r>
          <rPr>
            <sz val="9"/>
            <color indexed="81"/>
            <rFont val="Tahoma"/>
            <family val="2"/>
          </rPr>
          <t xml:space="preserve">
- Ab Mitte 2020 - wenn connect fertiggestellt ist und seinen versprochenen Mehrwert als geräteunabhängiger Multimessenger, als Multimedia-Zentrum und als VR- bzw. Spiel-Erlebnis beweist - wird auch die Mundpropaganda stark ansteigen. 
- Zu diesem Zeitpunkt wird VR auch ein Trend mit steigendem medialen Interesse sein (u.a. wegen der Offensiven vieler großer Unternehmen und Steven Spielbergs Verfilmung von Ready Player One - das wie eine Vorwegnahme von connect wirkt), was uns in die Hände spielt. 
- Wir rechnen damit, dass jeder User im Laufe eines Jahres im Schnitt genügend anderen Menschen von connect erzählt hat (die Gelegenheit ergibt sich bei Messengern / Social Networks deutlich öfter, als z.B. bei Medikamenten), dass ein weiterer User dadurch gewonnen werden kann. 
- Das ist eine sehr vorsichtige Schätzung. Viele erste VR-User werden Freunden diese neue virtuelle Welt mit Start in connect zeigen (u.a. weil wir eine sehr beeindruckende Grafik und viel Interaktivität und Invididualisierbarkeit haben und jeder gerne zeigt, was er sich "Besonderes" zusammengebaut bzw. erworben hat (z.B. sehr seltene virtuelle Haustiere mit besonderen Kunststücken)).
- Auch der Vergleich mit anderen innovativen Netzwerken wie z.B. Facebook, Twitter oder Instagram zeigt, dass allein durch Mundpropaganda ein Netzwerk auch viel schneller wachsen kann, als in unserer Schätzung. Facebook und Co haben in den ersten Jahren ihre Userzahlen verfünffacht (hier wurden die Absprünge bereits abgezogen) - davon sind unsere Schätzwerte fast um den Faktor 10 entfernt.
- connect ist sehr visuell, lässt sich großartig präsentieren, ist ein Trend-Thema, ein Thema, das fast jeden Menschen betrifft oder zumindest Gesprächsstoff gibt (wenngleich auch negativ, um über diese virtuelle Welten zu schimpfen). 
- Wir werden alles tun, um Usern gute Gründe zu geben, connect herzuzeigen, das ist einer der wichtigsten Foki unserer Entwicklung und dieser zeigt sich auch in den nachfolgenden "Marketing-Tricks", mit denen wir die Mundpropaganda nochmals gezielt anheizen und belohnen können (siehe 1.6 bis 1.9 - als Beispiele). </t>
        </r>
      </text>
    </comment>
    <comment ref="B9" authorId="0">
      <text>
        <r>
          <rPr>
            <b/>
            <sz val="9"/>
            <color indexed="81"/>
            <rFont val="Tahoma"/>
            <family val="2"/>
          </rPr>
          <t>Michael Schöggl:</t>
        </r>
        <r>
          <rPr>
            <sz val="9"/>
            <color indexed="81"/>
            <rFont val="Tahoma"/>
            <family val="2"/>
          </rPr>
          <t xml:space="preserve">
</t>
        </r>
        <r>
          <rPr>
            <b/>
            <sz val="9"/>
            <color indexed="81"/>
            <rFont val="Tahoma"/>
            <family val="2"/>
          </rPr>
          <t>Um wieviel Prozent pro Monat wächst unsere Userzahl allein durch Mundpropaganda?</t>
        </r>
        <r>
          <rPr>
            <sz val="9"/>
            <color indexed="81"/>
            <rFont val="Tahoma"/>
            <family val="2"/>
          </rPr>
          <t xml:space="preserve">
</t>
        </r>
        <r>
          <rPr>
            <u/>
            <sz val="9"/>
            <color indexed="81"/>
            <rFont val="Tahoma"/>
            <family val="2"/>
          </rPr>
          <t>Begründung für diesen Wert:</t>
        </r>
        <r>
          <rPr>
            <sz val="9"/>
            <color indexed="81"/>
            <rFont val="Tahoma"/>
            <family val="2"/>
          </rPr>
          <t xml:space="preserve">
- connect spricht eine sehr breite Zielgruppe an, weil es jedes Gerät unterstützt, in 2D, 3D oder VR verwendbar ist und klassische menschliche Grundbedürfnisse (Erhöhung des Sozialstatus, Unterhaltung, Kommunikation, Anerkennung, Aufmerksamkeit, Kontrolle, Sicherheit etc.) befriedigt. Darauf liegt unser Fokus, siehe Businessplan. 
- connect ist neuartig und technisch modern genug, um ein spannendes Thema im Freundeskreis zu sein. Es hebt sich komplett von anderen Netzwerken ab und Menschen zeigen gerne Neuheiten her, anstatt bereits bekannte oder vertraute Dinge.
- Das Interesse an VR wird in den nächsten Monaten mit immer besserer Hardware weiter zunehmen, wir wachsen hier mit. Der gedankliche und damit auch sprachliche Sprung von VR zum virtuellen Zuhause ist nicht weit, zumal wir auch ein Netzwerk für alle VR-Inhalte aufbauen wollen.
- Ein virtuelles Zuhause, virtuelle Haustiere und ein möglichst realistisches VR-Erlebnis sind Themen, die viele Menschen bewegen.
- In connect baut sich der User seine eigene Welt auf und "investiert" in die Erhöhung seines Sozialstatus durch limitierte, besondere Inhalte. Diese will er seinen Freunden zeigen, er will damit angeben.
- Ein Wert von ca. 6 % würde bedeuten, dass im Laufe eines Jahres ein connect User einen weiteren Menschen durch Mundpropaganda für uns gewinnen konnte. Das ist sehr realistisch, weil unsere User viel Zeit in connect verbringen werden (für Spiele, virtuelle Haustiere, Kommunikation, Multimedia und VR-Erlebnisse). Je bedeutsamer connect für die User wird (durch z.B. exklusive Inhalte), umso mehr werden sie es anderen zeigen.</t>
        </r>
      </text>
    </comment>
    <comment ref="C9"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Prozent pro Quartal sinkt/steigt das monatliche Wachstum durch Mundpropaganda?</t>
        </r>
        <r>
          <rPr>
            <sz val="9"/>
            <color indexed="81"/>
            <rFont val="Tahoma"/>
            <family val="2"/>
          </rPr>
          <t xml:space="preserve">
</t>
        </r>
        <r>
          <rPr>
            <u/>
            <sz val="9"/>
            <color indexed="81"/>
            <rFont val="Tahoma"/>
            <family val="2"/>
          </rPr>
          <t>Begründung für diesen Wert:</t>
        </r>
        <r>
          <rPr>
            <sz val="9"/>
            <color indexed="81"/>
            <rFont val="Tahoma"/>
            <family val="2"/>
          </rPr>
          <t xml:space="preserve">
- Umso mehr connect zu bieten hat, umso wahrscheinlicher werden unsere User es ihren Freunden zeigen - und viele besondere Funktionen (z.B. Zugang zu VR-Shops, Avatare, ganze VR-Welten, komplett neue Szenen, neue VR-Haustiere, etc.) werden erst nach und nach hinzukommen, u.a. durch Drittanbieter oder (Medien-)Partner.
- Je größer connect wird, umso "sicherer" fühlen sich Menschen darin, es anderen zu zeigen. Keiner will riskieren, etwas toll zu finden, was unbekannt ist und damit so wirkt, als würde es kaum jemandem gefallen (außer es ist offensichtlich ein Geheimtipp und noch ganz neu). 
- Viele Themen in connect - z.B. VR - sind Trends, die in den nächsten Monaten ansteigen werden.</t>
        </r>
      </text>
    </comment>
    <comment ref="A10" authorId="1">
      <text>
        <r>
          <rPr>
            <b/>
            <sz val="9"/>
            <color indexed="81"/>
            <rFont val="Tahoma"/>
            <family val="2"/>
          </rPr>
          <t xml:space="preserve">e.com
- </t>
        </r>
        <r>
          <rPr>
            <sz val="9"/>
            <color indexed="81"/>
            <rFont val="Tahoma"/>
            <family val="2"/>
          </rPr>
          <t xml:space="preserve">Von connect aus lassen sich bereits jetzt SMS und Faceboo-Nachrichten lesen und schreiben, Mails sind fast abgeschlossen, viele weitere, andere Netzwerke werden in rascher Abfolge (ca. ein Netzwerk pro Monat zu rund 10.000 Euro kosten) folgen. 
- Immer, wenn unsere User den Multimessenger verwenden, um Nachrichten zu schreiben oder Fotos, Videos, Sprachaufzeichnungen, eigenen connect-Sticker, connect-Emoties oder ähnliches in andere Netzwerke zu schicken, wird bei der ersten Nachricht der Anhang "send by connect" andere Menschen auf unser Netzwerk aufmerksam machen. 
- Unser User werden aber auch die geposteten Fotos ihrer Freunde an den Wänden ihres virtuellen Zuhause angezeigt bekommen, die Videos in einem eigenen "Freunde-Video-Kanal" am virtuellen Fernseher und ähnliches. Umgekehrt genauso - die Inhalte aus connect kann man allesamt in andere Netzwerke teilen, z.B. die Links zu Medieninhalten, Screenshots oder Videos (auch in 360 Grad), exklusive Inhalte (wie Haustiere, Spiele, Deko, alternative Szenen etc.). 
- Somit werden connect-fremde Menschen auf unser Netzwerk aufmerksam gemacht, ohne das dies Kosten verursachen würde. 
- Wir rechnen daher selbst bei vorsichtigster Schätzung, dass pro aktivem User im Laufe eines Jahres ein weiterer dazu kommt. Mit etwas "Glück" (richtiges Thema zum richtigen Zeitpunkt, etc.) könnte jeder User sogar hunderte Freunde auf connect aufmerksam machen, indem er ganz einfach connect-Inhalte (wie z.B. 360-Grad-Videos) z.B. auf Facebook teilt. 
- Punkt 1.6 beschreibt, dass wir dieses für uns nützliche Verhalten gezielt fördern und belohnen werden (z.B. durch Wettbewerbe), um diesen kostenlosen Zugang maximal auszunutzen. Wie schnell ein Thema viral werden kann und um die ganze Welt geht, haben genügend andere bewiesen - unser Ziel ist es, diese Mechanismen so gut wie möglich zu kopieren und automatisieren. 
- Der Multimessenger ist hierbei so nützlich, dass fast jeder User ihn immer wieder verwenden wird, selbst, wenn er ansonsten sich mit Postings etc. eher zurückhält. </t>
        </r>
      </text>
    </comment>
    <comment ref="B10" authorId="0">
      <text>
        <r>
          <rPr>
            <b/>
            <sz val="9"/>
            <color indexed="81"/>
            <rFont val="Tahoma"/>
            <family val="2"/>
          </rPr>
          <t>Michael Schöggl:</t>
        </r>
        <r>
          <rPr>
            <sz val="9"/>
            <color indexed="81"/>
            <rFont val="Tahoma"/>
            <family val="2"/>
          </rPr>
          <t xml:space="preserve">
</t>
        </r>
        <r>
          <rPr>
            <b/>
            <sz val="9"/>
            <color indexed="81"/>
            <rFont val="Tahoma"/>
            <family val="2"/>
          </rPr>
          <t>Um wieviel Prozent pro Monat steigt die Anzahl unserer User durch unseren Multimessenger-Anhang "sent by connect"?</t>
        </r>
        <r>
          <rPr>
            <sz val="9"/>
            <color indexed="81"/>
            <rFont val="Tahoma"/>
            <family val="2"/>
          </rPr>
          <t xml:space="preserve">
</t>
        </r>
        <r>
          <rPr>
            <u/>
            <sz val="9"/>
            <color indexed="81"/>
            <rFont val="Tahoma"/>
            <family val="2"/>
          </rPr>
          <t>Begründung für diesen Wert:</t>
        </r>
        <r>
          <rPr>
            <sz val="9"/>
            <color indexed="81"/>
            <rFont val="Tahoma"/>
            <family val="2"/>
          </rPr>
          <t xml:space="preserve">
- Dieser Zugang bezieht sich nicht nur auf den Text-Anhang "sent by connect" sondern ganz speziell auch darauf, dass unsere User z.B. connect-Inhalte wie dessen Sticker, Screenshots, Medien-Inhalte etc. in andere Netzwerke wie z.B. Facebook schicken können. Je "verknüpfter" connect ist, umso mehr Aufsehen wird jeder User automatisch in anderen Netzwerken durch die Verwendung erregen.
- Ein Wert von 8,4 % würde bedeuten, dass ein durchschnittlicher connect-User einen weiteren User pro Jahr anlockt, weil er hunderte Nicht-connect-Kontakte monatlich anschreibt (z.B. per Mail, SMS oder FB-Nachricht) und dabei einer neugierig genug wird, um connect selbst auszuprobieren (z.B. aufgrund der Info des connect-Users, dass er mit diesem Multi-Messenger Nachrichten in verschiedene Netzwerke schicken kann oder aufgrund der tollen Sticker, Screenshots (z.B. vom virtuellen Haustier) oder ähnliches).
- Die beste Werbung ist und bleibt persönliche Empfehlung und diese stoßen wir dadurch an, dass der Empfänger einer "sent by connect" Nachricht - vor allem, wenn er von verschiedenen Freunden über verschiedene Netzwerke solche Nachrichten bekommt - irgendwann nachfragen wird, worum es sich hierbei handelt. Und der Sender wird dann - um seinen Selbstwert zu wahren und seine Entscheidung zu rechtfertigen - auch connect positiv beschreiben und z.B. auf den Mehrwert des Multi-Messengers hinweisen. "Was du kennst connect nicht? Lebst du hinterm Mond?"</t>
        </r>
      </text>
    </comment>
    <comment ref="C10"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Prozent pro Quartal sinkt/steigt die monatliche Wachstumsrate von connect durch den Multi-Messenger-Anhang "sent by connect" oder die verschickten Inhalte?</t>
        </r>
        <r>
          <rPr>
            <sz val="9"/>
            <color indexed="81"/>
            <rFont val="Tahoma"/>
            <family val="2"/>
          </rPr>
          <t xml:space="preserve">
</t>
        </r>
        <r>
          <rPr>
            <u/>
            <sz val="9"/>
            <color indexed="81"/>
            <rFont val="Tahoma"/>
            <family val="2"/>
          </rPr>
          <t>Begründung für diesen Wert:</t>
        </r>
        <r>
          <rPr>
            <sz val="9"/>
            <color indexed="81"/>
            <rFont val="Tahoma"/>
            <family val="2"/>
          </rPr>
          <t xml:space="preserve">
- Wenn ein User regelmäßig durch die Nachrichten seiner Freunde auf connect aufmerksam gemacht wird, dann kennt er diesen Anhang bereits und somit auch connect. Je später dieser Werbezugang kommt, umso wahrscheinlicher hat der Empfänger bereits Bekanntschaft gemacht und einfach kein Interesse an connect - weshalb dieser Wert negativ ist, der Werbeeffekt also nachlässt. 
- Gegenzurechnen ist, dass unser Multi-Messenger immer mehr andere Netzwerke integrieren wird und damit auch Menschen aus neuen Netzwerken erreicht. Außerdem werden unsere User immer mehr Inhalte über den Multi-Messenger in andere Netzwerke schicken können. Trotzdem: Vorsichtig gedacht wird der Effekt eher rückläufig sein, als anzuwachsen. </t>
        </r>
      </text>
    </comment>
    <comment ref="A11" authorId="1">
      <text>
        <r>
          <rPr>
            <b/>
            <sz val="9"/>
            <color indexed="81"/>
            <rFont val="Tahoma"/>
            <family val="2"/>
          </rPr>
          <t xml:space="preserve">e.com:
</t>
        </r>
        <r>
          <rPr>
            <sz val="9"/>
            <color indexed="81"/>
            <rFont val="Tahoma"/>
            <family val="2"/>
          </rPr>
          <t xml:space="preserve">
- Das Bedürfnis vieler Menschen etwas besonderes zu besitzen oder (virtuelle) Erfolge (z.B. in Spielen) zu erzielen, bzw. ihren Status durch limitierte Besitztümer zu erhöhen, ist - wie Vergleiche mit der ganzen Spielebranche zeigen - gewaltig. 
- Auch innerhalb der connect-User wird es einen großen Anteil jener Nutzer geben, die sich durch limitierte Belohnungen mit Prestige-Wert (z.B. Pokale mit Namensgravur, extrem seltene virtuelle Haustiere, die sich verkaufen, züchten oder tauschen lassen, alternative virtuelle Wohnräume wie das Oval Office oder besondere Deko-Objekte, etc.) dazu motivieren lassen werden, im Zuge eines Wettbewerbs, einer "täglichen Quest", eines "Erfolges", etc. Verhalten zu zeigen, das uns bekannter macht. 
- Bei einem Wettbewerb könnten z.B. die besten 360-Grad-Videos aus dem virtuellen Zuhause (meiste Likes auf FB), die ausgefallenste Individualisierung (z.B. mit eigenen Fotos als Textur, wodurch man z.B. den Boden mit den Gesichtern der Freunde zupflastern kann) oder sogar selbst erstellte neue und öffentlich geteilte Inhalte wie Schriftarten, Klingeltöne, künstlerische Bilder für die virtuelle Wand, Haustier-Fell-Skins oder ähnliches mit Titeln, virtuellen Belohnungen oder "Adjektiven" honoriert werden. 
- Wir bauen dadurch eine Online-Community auf, die auf connect aufmerksam macht, z.B. ganz direkt durch tausende YouTube-Videos. Kürzlich hat ein indonesischer Sänger bei einem Wettbewerb für die 3 besten Cover-Songs innerhalb einer Woche einen Gewinn von 7000 Euro versprochen - und nur wenige Tage später gab es mehrere tausend Covers von ihm. Unsere Belohnungen werden durch die Rarität für manche User einen enormen Wert haben, ohne für uns relevante Kosten dazustellen. </t>
        </r>
      </text>
    </comment>
    <comment ref="A12" authorId="1">
      <text>
        <r>
          <rPr>
            <b/>
            <sz val="9"/>
            <color indexed="81"/>
            <rFont val="Tahoma"/>
            <family val="2"/>
          </rPr>
          <t xml:space="preserve">e.com:
</t>
        </r>
        <r>
          <rPr>
            <sz val="9"/>
            <color indexed="81"/>
            <rFont val="Tahoma"/>
            <family val="2"/>
          </rPr>
          <t xml:space="preserve">
- Wir werden ganz direkt das Teilen unserer Werbevideos auf Facebook und Co, sowie das Werben von Freunden mit stark limitierten virtuellen Besitztümern belohnen. 
- Diese sind nur eine bestimmte Zeit lang verfügbar (z.B. einen Monat), danach gibt es eine neue Belohnung, um denselben User zu motivieren, einen weiteren Freund anzuwerben. 
- Diese Belohnungen sind tauschbar, verkaufbar und könnten auch "sammelbare" Sets bilden (z.B. das Haustier "Eulenbaby" in den verschiedensten Farben/Fellen, damit der Aufwand für uns minimal ist). 
- Jede zu offensichtliche oder offensive Werbung kann sich auch negativ auf das Image auswirken, daher ist dieser Zugang nur eine weitere Möglichkeit, wenn die anderen Wege nicht erfolgreich genug sein sollten. </t>
        </r>
      </text>
    </comment>
    <comment ref="A13" authorId="1">
      <text>
        <r>
          <rPr>
            <b/>
            <sz val="9"/>
            <color indexed="81"/>
            <rFont val="Tahoma"/>
            <family val="2"/>
          </rPr>
          <t xml:space="preserve">e.com:
</t>
        </r>
        <r>
          <rPr>
            <sz val="9"/>
            <color indexed="81"/>
            <rFont val="Tahoma"/>
            <family val="2"/>
          </rPr>
          <t xml:space="preserve">
- Wir haben ganz bewusst viele Inhalte in connect geschaffen, die dafür sorgen, dass unsere User in der Öffentlichkeit auffallen werden.
- U.a. sind das realistische Klingeltöne (Münze fällt, Dose öffnen, Schluckauf, Gelsensurren, etc.), die z.B. auf öffentlichen Plätzen oder in den öffentlichen Verkehrsmitteln Aufmerksamkeit erregen. 
- Auch praktisch fertiggestellt ist ein versteckter, virtueller Tresor, der sich durch das Drehen des Smartphones (= Drehen des Drehknaufs) nach vielen Stunden knacken lässt. Manche unserer User werden öffentlich auffallen, gefragt werden und dann (stolz) connect präsentieren. 
- Dieser Zugang kostet uns ebenso wie die bisherigen nur Entwicklungsaufwand und kann mit der Userbasis gewaltig skalieren und schnell für mehr Sichtbarkeit sorgen.
- Es gibt noch rund 5 weitere Tricks, die nun nicht alle aufgezählt werden sollen. 
- Wir wollen es so schwer wie möglich machen, connect zu nutzen, ohne dass regelmäßig andere Menschen darauf aufmerksam werden.
- Fast alle dieser Tricks und Zugänge sowie der Belohnungen sind bereits fertig oder kurz vor Fertigstellung, ihr Effekt wird uns aber kontinuierlich neue User ohne weitere Kosten bringen.</t>
        </r>
      </text>
    </comment>
    <comment ref="A14" authorId="0">
      <text>
        <r>
          <rPr>
            <b/>
            <sz val="9"/>
            <color indexed="81"/>
            <rFont val="Tahoma"/>
            <family val="2"/>
          </rPr>
          <t xml:space="preserve">Michael Schöggl:
</t>
        </r>
        <r>
          <rPr>
            <sz val="9"/>
            <color indexed="81"/>
            <rFont val="Tahoma"/>
            <family val="2"/>
          </rPr>
          <t xml:space="preserve">
</t>
        </r>
        <r>
          <rPr>
            <b/>
            <sz val="9"/>
            <color indexed="81"/>
            <rFont val="Tahoma"/>
            <family val="2"/>
          </rPr>
          <t>Für eine realistische Einschätzung der Userzahlen-Entwicklung müssen wir von einer Sättigung der Zielgruppe ausgehen, bzw. von einer Zielgruppen-Obergrenze</t>
        </r>
        <r>
          <rPr>
            <sz val="9"/>
            <color indexed="81"/>
            <rFont val="Tahoma"/>
            <family val="2"/>
          </rPr>
          <t xml:space="preserve">. 
</t>
        </r>
        <r>
          <rPr>
            <b/>
            <sz val="9"/>
            <color indexed="81"/>
            <rFont val="Tahoma"/>
            <family val="2"/>
          </rPr>
          <t>Wir verwenden 2 Werte:</t>
        </r>
        <r>
          <rPr>
            <sz val="9"/>
            <color indexed="81"/>
            <rFont val="Tahoma"/>
            <family val="2"/>
          </rPr>
          <t xml:space="preserve">
- </t>
        </r>
        <r>
          <rPr>
            <u/>
            <sz val="9"/>
            <color indexed="81"/>
            <rFont val="Tahoma"/>
            <family val="2"/>
          </rPr>
          <t>maximale Zielgruppe bis Ende 2020</t>
        </r>
        <r>
          <rPr>
            <sz val="9"/>
            <color indexed="81"/>
            <rFont val="Tahoma"/>
            <family val="2"/>
          </rPr>
          <t xml:space="preserve">: Primär VR-User (und Gamer für die 3D-Nutzung), weil sich unser Marketing auf diese Zielgruppe konzentriert; natürlich können wir aber auch darüber hinaus Menschen ansprechen.
- </t>
        </r>
        <r>
          <rPr>
            <u/>
            <sz val="9"/>
            <color indexed="81"/>
            <rFont val="Tahoma"/>
            <family val="2"/>
          </rPr>
          <t>maximale Zielgruppe ab 2021</t>
        </r>
        <r>
          <rPr>
            <sz val="9"/>
            <color indexed="81"/>
            <rFont val="Tahoma"/>
            <family val="2"/>
          </rPr>
          <t xml:space="preserve">: Alle Social Media bzw. Network und Messenger Nutzer, jedoch nur jene, für die connect - auch OHNE den virtuellen Raum - einen ausreichend großen Mehrwert bietet (Multi-Messenger, Datenschutz, Multimedia, Geräteunabhängigkeit, etc.), schließlich haben wir Konkurrenz und unser Produkt wird selbst dann, wenn wir alles individualisierbar machen und verschiedene Versionen rausbringen, niemals alle Menschen ansprechen können
</t>
        </r>
        <r>
          <rPr>
            <b/>
            <sz val="9"/>
            <color indexed="81"/>
            <rFont val="Tahoma"/>
            <family val="2"/>
          </rPr>
          <t>Erklärung zu den Auswirkungen dieser Werte:</t>
        </r>
        <r>
          <rPr>
            <sz val="9"/>
            <color indexed="81"/>
            <rFont val="Tahoma"/>
            <family val="2"/>
          </rPr>
          <t xml:space="preserve">
- Die Berechnung erfolgt so, dass je stärker sich unsere Userzahlen diesen Grenzwerten nähern, die Akquise neuer User umso unwahrscheinlicher wird.
- Bei 0 Usern und einer Grenze von 300, ist die Akquise-Rate bei 100%. 
- Bei 200 Usern und einer Grenze von 300, ist sie nur noch bei 0,33%.
- Alle Wachstumswerte (bis auf die negativen Absprünge, siehe 1.11) sind von diesem Multiplikator betroffen und sinken entsprechend der Annäherung zur Zielgruppen-Obergrenze immer stärker Richtung 0.</t>
        </r>
      </text>
    </comment>
    <comment ref="B14" authorId="0">
      <text>
        <r>
          <rPr>
            <b/>
            <sz val="9"/>
            <color indexed="81"/>
            <rFont val="Tahoma"/>
            <family val="2"/>
          </rPr>
          <t xml:space="preserve">Michael Schöggl:
Wie groß ist unsere </t>
        </r>
        <r>
          <rPr>
            <b/>
            <i/>
            <sz val="9"/>
            <color indexed="81"/>
            <rFont val="Tahoma"/>
            <family val="2"/>
          </rPr>
          <t>primäre</t>
        </r>
        <r>
          <rPr>
            <b/>
            <sz val="9"/>
            <color indexed="81"/>
            <rFont val="Tahoma"/>
            <family val="2"/>
          </rPr>
          <t xml:space="preserve"> Zielgruppe, die wir bis Ende 2020 erreichen können? - </t>
        </r>
        <r>
          <rPr>
            <b/>
            <u/>
            <sz val="9"/>
            <color indexed="81"/>
            <rFont val="Tahoma"/>
            <family val="2"/>
          </rPr>
          <t>Bezogen auf Viral-Marketing-Zugänge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Zu Beginn Fokus auf VR-User, weil wir diesen den größten Mehrwert bieten und Gamer eine sehr dankbare, zahlkräftige Zielgruppe sind. 2019 sind das mindestens 10 Millionen User weltweit, die wir über unsere aktuell unterstützten Geräte (Android, HTC Vive, Oculus) und Plattformen (Play Store und Steam) erreichen können.
- Bis Mitte 2020: Fertigstellung der "connect Basic"-Version, d.h. einer nativen Android und iOS Version von connect, die dieselben Funktionen umfasst, aber in einem simplen 2D-Design (vlg. WhatsApp und Co). Diese Version unterstützt dann wirklich alle Smartphones und läuft genauso schnell, wie WhatsApp und Co, mit Fokus auf Multi-Messenger, Multimedia und Verschlüsselung zielt sie auf den konservativeren, weniger verspielten Massenmarkt ab, bis VR sich endgültig durchgesetzt hat.
- Bis Mitte 2020: Fertigstellung der PlayStation-Version und der iOS-Version.
- Bis Ende 2020: Fertigstellung des Multi-Messengers für alle Geräte (inklusive PlayStation und iOS) und alle größeren Netzwerke (u.a. zusätzlich WhatsApp, WeChat, Snapchat, Skype, Twitter, Instagram etc.). 
- Ab 2021 Fokus auf neue Zielgruppe: alle Social Network / Messenger-User weltweit; bis dahin haben wir genug Funktionen (z.B. Multi-Messenger) und Inhalte (z.B. Medien-Inhalte der Partner) um auch den Massenmarkt anzusprechen. Unsere bisherigen VR-/3D-User werden als treue Fans zu Mundpropaganda motiviert (siehe 1.7 bis 1.9).
</t>
        </r>
      </text>
    </comment>
    <comment ref="C14" authorId="0">
      <text>
        <r>
          <rPr>
            <b/>
            <sz val="9"/>
            <color indexed="81"/>
            <rFont val="Tahoma"/>
            <family val="2"/>
          </rPr>
          <t>Michael Schöggl:</t>
        </r>
        <r>
          <rPr>
            <sz val="9"/>
            <color indexed="81"/>
            <rFont val="Tahoma"/>
            <family val="2"/>
          </rPr>
          <t xml:space="preserve">
</t>
        </r>
        <r>
          <rPr>
            <b/>
            <sz val="9"/>
            <color indexed="81"/>
            <rFont val="Tahoma"/>
            <family val="2"/>
          </rPr>
          <t xml:space="preserve">
Wie groß ist unsere </t>
        </r>
        <r>
          <rPr>
            <b/>
            <i/>
            <sz val="9"/>
            <color indexed="81"/>
            <rFont val="Tahoma"/>
            <family val="2"/>
          </rPr>
          <t>primäre</t>
        </r>
        <r>
          <rPr>
            <b/>
            <sz val="9"/>
            <color indexed="81"/>
            <rFont val="Tahoma"/>
            <family val="2"/>
          </rPr>
          <t xml:space="preserve"> Zielgruppe (Multi-Messenger, Social Network, Multimedia), die wir ab 2020 erreichen können? - </t>
        </r>
        <r>
          <rPr>
            <b/>
            <u/>
            <sz val="9"/>
            <color indexed="81"/>
            <rFont val="Tahoma"/>
            <family val="2"/>
          </rPr>
          <t>Bezogen auf Viral-Marketing-Zugänge</t>
        </r>
        <r>
          <rPr>
            <b/>
            <sz val="9"/>
            <color indexed="81"/>
            <rFont val="Tahoma"/>
            <family val="2"/>
          </rPr>
          <t xml:space="preserve">
</t>
        </r>
        <r>
          <rPr>
            <u/>
            <sz val="9"/>
            <color indexed="81"/>
            <rFont val="Tahoma"/>
            <family val="2"/>
          </rPr>
          <t>Begründung für diesen Wert</t>
        </r>
        <r>
          <rPr>
            <sz val="9"/>
            <color indexed="81"/>
            <rFont val="Tahoma"/>
            <family val="2"/>
          </rPr>
          <t>: 
- Siehe Kommentar zur Spalte links: Ab 2021 umfasst connect genügend Inhalte, Medien, Funktionen und Geräte-Unterstützungen, sowie eine simple connect Basic Version ohne 3D/VR, um praktisch alle Social Network / Media bzw. Messenger User weltweit anzusprechen.
- Viele User verwenden mehrere Social Networks oder Messenger parallel zueinander, zudem bietet gerade connect mit dem Multi-Messenger den Vorteil, aus einer App heraus alle anderen Netzwerke verwenden/verwalten zu können. Darum gehen wir von einem weltweiten Markt von mindestens 300 Mio Menschen aus, unanhängig davon, wie erfolgreich oder aktiv die Konkurrenz wie z.B. Facebook ist. 
- Gewissermaßen profitieren wir aufgrund unseres Multi-Messengers sogar von mehr Wettbewerbern bzw. dem Erfolg anderer Messenger und Netzwerke - weil dadurch der Wert von unserer Verschlüsselung / Datenschutz und von unserem Multi-Messenger steigt, schließlich nimmt er "Arbeit" ab, all diese Netzwerke (mit unterschiedlichen Apps und unterschiedlichen Geräteabhängigkeiten) zu betreuen.</t>
        </r>
      </text>
    </comment>
    <comment ref="J14" authorId="0">
      <text>
        <r>
          <rPr>
            <b/>
            <sz val="9"/>
            <color indexed="81"/>
            <rFont val="Tahoma"/>
            <family val="2"/>
          </rPr>
          <t>Michael Schöggl:</t>
        </r>
        <r>
          <rPr>
            <sz val="9"/>
            <color indexed="81"/>
            <rFont val="Tahoma"/>
            <family val="2"/>
          </rPr>
          <t xml:space="preserve">
</t>
        </r>
        <r>
          <rPr>
            <b/>
            <sz val="9"/>
            <color indexed="81"/>
            <rFont val="Tahoma"/>
            <family val="2"/>
          </rPr>
          <t>Summe der monatlichen Steigerungsraten für das gesamte Jahr.</t>
        </r>
        <r>
          <rPr>
            <sz val="9"/>
            <color indexed="81"/>
            <rFont val="Tahoma"/>
            <family val="2"/>
          </rPr>
          <t xml:space="preserve"> 
- Die Werte links davon sind pro Monat und nicht pro Quartal, das hier ist also nicht die Summe der Werte links, sondern das Jahresergebnis.
- Diese Werte sind mit Vorsicht zu genießen, die eigentliche Steigerungsrate pro Jahr ist eine andere, als die einfache Summe der monatlichen Steigerungen.</t>
        </r>
      </text>
    </comment>
    <comment ref="A15" authorId="0">
      <text>
        <r>
          <rPr>
            <b/>
            <sz val="9"/>
            <color indexed="81"/>
            <rFont val="Tahoma"/>
            <family val="2"/>
          </rPr>
          <t>Michael Schöggl:</t>
        </r>
        <r>
          <rPr>
            <sz val="9"/>
            <color indexed="81"/>
            <rFont val="Tahoma"/>
            <family val="2"/>
          </rPr>
          <t xml:space="preserve">
Prozentsatz aller bisherigen User, die innerhalb von diesem einen Monat connect für immer verlassen und daher dauerhaft verloren gehen.
</t>
        </r>
        <r>
          <rPr>
            <u/>
            <sz val="9"/>
            <color indexed="81"/>
            <rFont val="Tahoma"/>
            <family val="2"/>
          </rPr>
          <t>Achtung</t>
        </r>
        <r>
          <rPr>
            <sz val="9"/>
            <color indexed="81"/>
            <rFont val="Tahoma"/>
            <family val="2"/>
          </rPr>
          <t>: Diesen Wert nicht zu hoch einschätzen, weil er sich auf jeden einzelnen Monat bezieht und sich schnell kummuliert. Bei einem Wert von 0,1 würden im Laufe eines Jahres z.B. 72% aller User wieder verloren sein (0,9 hoch 12).</t>
        </r>
      </text>
    </comment>
    <comment ref="B15" authorId="0">
      <text>
        <r>
          <rPr>
            <b/>
            <sz val="9"/>
            <color indexed="81"/>
            <rFont val="Tahoma"/>
            <family val="2"/>
          </rPr>
          <t>Michael Schöggl:</t>
        </r>
        <r>
          <rPr>
            <sz val="9"/>
            <color indexed="81"/>
            <rFont val="Tahoma"/>
            <family val="2"/>
          </rPr>
          <t xml:space="preserve">
</t>
        </r>
        <r>
          <rPr>
            <b/>
            <sz val="9"/>
            <color indexed="81"/>
            <rFont val="Tahoma"/>
            <family val="2"/>
          </rPr>
          <t xml:space="preserve">Wieviel Prozent aller bisherigen User verlassen uns pro Monat? </t>
        </r>
        <r>
          <rPr>
            <sz val="9"/>
            <color indexed="81"/>
            <rFont val="Tahoma"/>
            <family val="2"/>
          </rPr>
          <t xml:space="preserve">
</t>
        </r>
        <r>
          <rPr>
            <u/>
            <sz val="9"/>
            <color indexed="81"/>
            <rFont val="Tahoma"/>
            <family val="2"/>
          </rPr>
          <t>Begründung für diesen Wert</t>
        </r>
        <r>
          <rPr>
            <sz val="9"/>
            <color indexed="81"/>
            <rFont val="Tahoma"/>
            <family val="2"/>
          </rPr>
          <t>: 
- Dieser Wert ist von unglaublicher Bedeutung für unseren Erfolg. Wir tun vieles, um ihn so rasch wie möglich maximal zu senken (u.a. durch Individualisierung, Investments, Aufarbeitung von User-Wünschen, ständig neuen Inhalten von Partner bzw. Medien, spielerische, unterhaltsame Zugänge wie virtuelle Haustiere, etc.). 
- Bis Mitte 2020 wird der Wert sehr hoch sein, weil viele versprochene Funktionen noch nicht fertig sind und die Usability aufgrund offener Baustellen noch zu schlecht. Ab Q3 2020 gilt dann der hier eingetragene Wert.
- Solange dieser Wert niedriger ist (wird), als Summe A und B zusammen, wächst connect.</t>
        </r>
      </text>
    </comment>
    <comment ref="C15"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sinkt/steigt der prozentuale Wert, mit dem jeden Monat bisherige User connect für immer verlassen?</t>
        </r>
        <r>
          <rPr>
            <sz val="9"/>
            <color indexed="81"/>
            <rFont val="Tahoma"/>
            <family val="2"/>
          </rPr>
          <t xml:space="preserve">
</t>
        </r>
        <r>
          <rPr>
            <u/>
            <sz val="9"/>
            <color indexed="81"/>
            <rFont val="Tahoma"/>
            <family val="2"/>
          </rPr>
          <t>Begründung für diesen Wert</t>
        </r>
        <r>
          <rPr>
            <sz val="9"/>
            <color indexed="81"/>
            <rFont val="Tahoma"/>
            <family val="2"/>
          </rPr>
          <t>:
- Umso userfreundlicher connect (durch die Einarbeitung von Feedback) wird, umso weniger User werden uns verlassen.
- Umso mehr Zeit und Energie unsere User in ihr virtuelles Zuhause investiert haben, umso weniger sind sie bereit, diese wieder aufzugeben. 
- Wir fokussieren uns darauf, dem User solche Investitionen abzuverlangen, damit er wie in einer alten Ehe connect die Treue hält. Beispiele: Individualisierung, exklusiv Inhalte wie z.B. Quest- bzw. Erfolgs-Belohnungen, Einkäufe, Wettbewerbs-Preise, Tresor-Inhalte, Tausch-Ergebnisse, connect-eigener Freundeskreis, Chat-Verläufe, gesammelte Kontakte, erstellte Favoriten-Listen bei Multimedia-Anbietern, (selbst gezüchtete und trainierte) seltene, virtuelle Haustiere, Einstellungen, etc.
- connect wird laufend weiterentwickelt und wir haben hunderte coole Ideen für Funktionen bzw. Inhalte, die unsere User nicht missen werden wollen.
- Unser Datenschutz-Image und der Aufbau von Vertrauen werden User abhalten, zur Konkurrenz zu wechseln bzw. connect als DIE Kommunikations- und Medien-Plattform ihrer Wahl zu verlassen.</t>
        </r>
      </text>
    </comment>
    <comment ref="J15" authorId="0">
      <text>
        <r>
          <rPr>
            <b/>
            <sz val="9"/>
            <color indexed="81"/>
            <rFont val="Tahoma"/>
            <family val="2"/>
          </rPr>
          <t>Michael Schöggl:</t>
        </r>
        <r>
          <rPr>
            <sz val="9"/>
            <color indexed="81"/>
            <rFont val="Tahoma"/>
            <family val="2"/>
          </rPr>
          <t xml:space="preserve">
</t>
        </r>
        <r>
          <rPr>
            <b/>
            <sz val="9"/>
            <color indexed="81"/>
            <rFont val="Tahoma"/>
            <family val="2"/>
          </rPr>
          <t xml:space="preserve">Summe der monatlichen Reduktionsraten für das gesamte Jahr. </t>
        </r>
        <r>
          <rPr>
            <sz val="9"/>
            <color indexed="81"/>
            <rFont val="Tahoma"/>
            <family val="2"/>
          </rPr>
          <t xml:space="preserve">
- Die Werte links davon sind pro Monat und nicht pro Quartal, das hier ist also nicht die Summe der Werte links, sondern das Jahresergebnis.
- Diese Werte sind mit Vorsicht zu genießen, die eigentliche Reduktionsrate pro Jahr ist eine andere, als die einfache Summe der monatlichen Reduktionen.</t>
        </r>
      </text>
    </comment>
    <comment ref="V15" authorId="0">
      <text>
        <r>
          <rPr>
            <b/>
            <sz val="9"/>
            <color indexed="81"/>
            <rFont val="Tahoma"/>
            <family val="2"/>
          </rPr>
          <t>Michael Schöggl:</t>
        </r>
        <r>
          <rPr>
            <sz val="9"/>
            <color indexed="81"/>
            <rFont val="Tahoma"/>
            <family val="2"/>
          </rPr>
          <t xml:space="preserve">
- 2% pro Monat (Q4 2022) entspricht 24% pro Jahr. Für 2023 und die darauffolgenden Jahre rechnen wir mit 20% Abwanderung pro Jahr. 
- connect bietet sehr viel, um User dauerhaft zu binden, z.B. durch Datenschutz, Multimessenger (einmal eingerichtet will man nicht mehr darauf verzichten) und jedes Investment, das unsere User tätigen (Einkäufe, Belohnungen, Chat-Verkauf, etc.).
- Um vorsichtig zu schätzen, wollen wir aber auch dauerhaft mit 20% jährlicher Abwanderung rechnen, da es unrealistisch ist, alle User halten zu können.</t>
        </r>
      </text>
    </comment>
    <comment ref="Z15" authorId="0">
      <text>
        <r>
          <rPr>
            <b/>
            <sz val="9"/>
            <color indexed="81"/>
            <rFont val="Tahoma"/>
            <family val="2"/>
          </rPr>
          <t xml:space="preserve">Michael Schöggl:
</t>
        </r>
        <r>
          <rPr>
            <sz val="9"/>
            <color indexed="81"/>
            <rFont val="Tahoma"/>
            <family val="2"/>
          </rPr>
          <t xml:space="preserve">
Wegen der frühen Testversion, bei der noch fast nichts geht und vieles buggt, ist die Absprungrate pro Monat sehr hoch. Der Wert sagt aber nichts über die fertige Version aus, denn eines haben ALLE Menschen gemeinsam: sie wollen keine Software nutzen, die noch nicht funktioniert, die kaum was bringt und die viele Probleme hat. </t>
        </r>
      </text>
    </comment>
    <comment ref="A16" authorId="0">
      <text>
        <r>
          <rPr>
            <b/>
            <sz val="9"/>
            <color indexed="81"/>
            <rFont val="Tahoma"/>
            <family val="2"/>
          </rPr>
          <t>Michael Schöggl:</t>
        </r>
        <r>
          <rPr>
            <sz val="9"/>
            <color indexed="81"/>
            <rFont val="Tahoma"/>
            <family val="2"/>
          </rPr>
          <t xml:space="preserve">
- Diese Wachstumsrate wird absolut berechnet, d.h. das Endergebnis Quartal 2 minus Endergebnis Quartal 1. 
- Die Wachstumsrate umfasst die Summe A, B und die User, die pro Monat connect wieder verlassen.</t>
        </r>
      </text>
    </comment>
    <comment ref="J16" authorId="0">
      <text>
        <r>
          <rPr>
            <b/>
            <sz val="9"/>
            <color indexed="81"/>
            <rFont val="Tahoma"/>
            <family val="2"/>
          </rPr>
          <t>Michael Schöggl:</t>
        </r>
        <r>
          <rPr>
            <sz val="9"/>
            <color indexed="81"/>
            <rFont val="Tahoma"/>
            <family val="2"/>
          </rPr>
          <t xml:space="preserve">
</t>
        </r>
        <r>
          <rPr>
            <b/>
            <sz val="9"/>
            <color indexed="81"/>
            <rFont val="Tahoma"/>
            <family val="2"/>
          </rPr>
          <t>Wachstumsrate insgesamt im Vergleich zum Vorjahr</t>
        </r>
        <r>
          <rPr>
            <sz val="9"/>
            <color indexed="81"/>
            <rFont val="Tahoma"/>
            <family val="2"/>
          </rPr>
          <t xml:space="preserve">
- Dieser Wert ist im Gegensatz zu den Summenwerten darüber aussagekräftiger. 
- Die Summenwerte (oben) ignorieren, dass beim Zusammenzählen einzelner prozentualer Steigerungen das Ausmaß der gesamten Steigerung bis zum ersten Wert verloren geht und unterschätzt wird, weil immer nur kleinere Änderungen gemessen werden. Dadurch sind die Summenwerte oben deutlich kleiner, als die absolute Steigerungsrate von Jahr 1 zu Jahr 2.  
- Da connect erst mit Jahresende 2018 als Testversion veröffentlicht wurde und kaum User hat, macht die Berechnung dieser jährlichen Wachstumsrate für 2020 im Vergleich zu 2019 wenig Sinn.</t>
        </r>
      </text>
    </comment>
    <comment ref="A17"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 ref="J17" authorId="0">
      <text>
        <r>
          <rPr>
            <b/>
            <sz val="9"/>
            <color indexed="81"/>
            <rFont val="Tahoma"/>
            <family val="2"/>
          </rPr>
          <t xml:space="preserve">Michael Schöggl:
</t>
        </r>
        <r>
          <rPr>
            <sz val="9"/>
            <color indexed="81"/>
            <rFont val="Tahoma"/>
            <family val="2"/>
          </rPr>
          <t xml:space="preserve">
Summe aller neuen User in diesem Jahr abzüglich derjenigen, die inaktiv geworden sind.</t>
        </r>
      </text>
    </comment>
    <comment ref="A18"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 ref="J18" authorId="0">
      <text>
        <r>
          <rPr>
            <b/>
            <sz val="9"/>
            <color indexed="81"/>
            <rFont val="Tahoma"/>
            <family val="2"/>
          </rPr>
          <t xml:space="preserve">Michael Schöggl:
</t>
        </r>
        <r>
          <rPr>
            <sz val="9"/>
            <color indexed="81"/>
            <rFont val="Tahoma"/>
            <family val="2"/>
          </rPr>
          <t xml:space="preserve">
Absolute Anzahl aller aktiven User am Ende des Jahres. 
</t>
        </r>
      </text>
    </comment>
    <comment ref="A20" authorId="0">
      <text>
        <r>
          <rPr>
            <b/>
            <sz val="9"/>
            <color indexed="81"/>
            <rFont val="Tahoma"/>
            <family val="2"/>
          </rPr>
          <t>Michael Schöggl:</t>
        </r>
        <r>
          <rPr>
            <sz val="9"/>
            <color indexed="81"/>
            <rFont val="Tahoma"/>
            <family val="2"/>
          </rPr>
          <t xml:space="preserve">
- connect hat viele Geschäftsmodelle, wird seinen Fokus aber ganz klar auf B2C konzentrieren, um erste Einnahmen (ab dem 1. User) zu machen. 
- Wenn wir eine kritische Masse an Usern erreicht haben (ca. 20 bis 100k), werden langsam immer stärker auch B2B-Kunden auf uns aufmerksam.
- B2B wird deutlich höhere Einnahmen erbringen, als B2C.
- Wir konzentrieren uns von Anfang an auf die Akquise von B2B-Kunden, realistischerweise werden unsere Bemühungen aber erst erfolgreich sein, wenn wir mindestens 20.000 User haben. 
- Wir haben aktive Gespräche mit mehr als zwei Dutzend großer internationaler Unternehmen, die Interesse an einer Zusammenarbeit haben und noch ein wenig zögern, weil es noch etwas zu früh ist. U.a. Porsche, A1, Deutsche Telekom, Red Bull, Wirecard (Kooperation bereits zugesagt), Internorm, Canon, Antenne (Kooperation bereits zugesagt), Energie Steiermark, etc.
- Fast alle Unternehmen, mit denen wir bisher in Kontakt kamen, haben mit uns Gespräche geführt und Interesse gezeigt (wir hatten mehr als ein Dutzend Präsentationen). Uns fehlte bisher die Zeit und die Mittel (Mitarbeiter), um offensiver auf weitere Unternehmen zuzugehen.
- Auf Basis dieser Erfahrungen können wir mit hoher Sicherheit annehmen, dass es uns sehr rasch gelingen wird, Unternehmen als Kunden zu gewinnen, sobald unsere Software fertig ist und wir mindestens 20.000 User haben. Keines dieser Unternehmen will zu spät kommen, aber auch keines kann es sich leisten, bereits fixe Zusagen zu machen, solange unser Projekt noch keine/kaum Traktion bewiesen hat.</t>
        </r>
      </text>
    </comment>
    <comment ref="A21" authorId="1">
      <text>
        <r>
          <rPr>
            <b/>
            <sz val="9"/>
            <color indexed="81"/>
            <rFont val="Tahoma"/>
            <family val="2"/>
          </rPr>
          <t>e.com:</t>
        </r>
        <r>
          <rPr>
            <sz val="9"/>
            <color indexed="81"/>
            <rFont val="Tahoma"/>
            <family val="2"/>
          </rPr>
          <t xml:space="preserve">
- Siehe Quelle 06: Bei erfolgreichen Apps gibt der durchschnittliche User pro Jahr für In-App-Einkäufe ca. 76 € aus.
- connect ist kostenlos, aber User können Erweiterungen wie z.B. virtuelle Haustiere (Entchen, Krokodil fertig, Schildkröte, Küken etc. bald), Spiele, neue virtuelle Räume/Orte (z.B. Oval Office, fertig), Deko, Gimmicks (z.B. Wettergerät), virtuelle Geschenke (z.B. Rose, Flugzeug mit beschriftbaren Banner, etc.) kaufen. 
- Erfahrungen bei Spielen zeigen, dass diese Form der Monetarisierung in vielen Fällen höhere Einnahmen bringt, als ein monatliches Abo-System oder der Kaufpreis eines Spieles.
- In connect werden vor allem virtuelle, fotorealistische, alternative Szenen (z.B. Oval Office), dekorative, stark limitierte Erweiterungen und virtuelle Haustiere für hohe Einnahmen sorgen. Der User kauft z.B. ein Ei und es schlüpft meistens ein Entchen daraus, selten ein Krokodilbaby und extrem selten ein Saurierbaby. Jedes Tier gibt es in verschieden häufigen Farben. Viele User werden zahlreiche Eier kaufen, weil sie unbedingt z.B. ein schwarzes Baby-Krokodil wollen, das ihren Sozialstatus unterstreichen soll und besonders rar und wertvoll ist. 
- Auch alternative VR-Szenarien (die fotorealistisch und interaktiv sind), sind für wenige Euro erschwinglich, viele User werden als Sammler einfach alles kaufen, was angebot wird. 
- In dieser Aufstellung rechnen wir mit realistischen 3,5 bis langfristig 10 Euro pro User und Jahr an Einnahmen, aber möglich wären auch 40 Euro oder mehr. connect bietet viel mehr verschiedenartigen Content, als klassische Spiele und die Inhalte sind noch relevanter für den eigenen Sozial-Status (virtuelle, möglichst realistische Welt, die realen Freunde als Bewunderer, statt fremde Spieler, etc.).</t>
        </r>
      </text>
    </comment>
    <comment ref="B21" authorId="0">
      <text>
        <r>
          <rPr>
            <b/>
            <sz val="9"/>
            <color indexed="81"/>
            <rFont val="Tahoma"/>
            <family val="2"/>
          </rPr>
          <t>Michael Schöggl:</t>
        </r>
        <r>
          <rPr>
            <sz val="9"/>
            <color indexed="81"/>
            <rFont val="Tahoma"/>
            <family val="2"/>
          </rPr>
          <t xml:space="preserve">
</t>
        </r>
        <r>
          <rPr>
            <b/>
            <sz val="9"/>
            <color indexed="81"/>
            <rFont val="Tahoma"/>
            <family val="2"/>
          </rPr>
          <t>Wieviel € gibt ein aktiver User im Durchschnitt für In-App-Käufe pro Monat aus?</t>
        </r>
        <r>
          <rPr>
            <sz val="9"/>
            <color indexed="81"/>
            <rFont val="Tahoma"/>
            <family val="2"/>
          </rPr>
          <t xml:space="preserve">
</t>
        </r>
        <r>
          <rPr>
            <u/>
            <sz val="9"/>
            <color indexed="81"/>
            <rFont val="Tahoma"/>
            <family val="2"/>
          </rPr>
          <t>Begründung für diesen Wert</t>
        </r>
        <r>
          <rPr>
            <sz val="9"/>
            <color indexed="81"/>
            <rFont val="Tahoma"/>
            <family val="2"/>
          </rPr>
          <t xml:space="preserve">:
- Wir rechnen mit 0,3 € (Q3 2020) bis 0,93 € (Q4 2022) pro Monat.
- Das sind sehr vorsichtige, pessimistische Schätzwerte, da offizielle Zahlen und Vergleiche mit anderen Apps/Spielen deutlich höhere Durchschnittswerte belegen. Siehe hierzu Quellen 04 bis 08. WeChat ARPU: 35 $.
- connect ist keine reine App, sondern auch als PC- bzw. PlayStation-Version und in VR erhältlich; dadurch können wir mit den deutlich höheren Einnahmen aus der Online-Spiele-Branche rechnen (siehe Quelle 08, im Durchschnitt 20 € pro Jahr). 
- Da connect "hochwertig" ist/wirkt (kein 2D-Handy-Spiel, sondern ein fotorealistischer Raum um mich herum), ist es sehr wahrscheinlich, dass unsere User auch mehr Geld auszugeben bereit sind, um ihr virtuelles Reich zu verbessern.
- Die gekauften Inhalte haben "persönliche Relevanz" (es sind keine Gimmicks für eine Spielfigur, sondern für </t>
        </r>
        <r>
          <rPr>
            <i/>
            <sz val="9"/>
            <color indexed="81"/>
            <rFont val="Tahoma"/>
            <family val="2"/>
          </rPr>
          <t>mein</t>
        </r>
        <r>
          <rPr>
            <sz val="9"/>
            <color indexed="81"/>
            <rFont val="Tahoma"/>
            <family val="2"/>
          </rPr>
          <t xml:space="preserve"> virtuelles Leben / Reich). 
- Durch den Social-Network-Aspekt erhöhen exklusive Inhalte meinen Sozial-Status gegenüber allen Freunden und nicht nur gegenüber anderen, unbekannten Gamern. 
- Viele In-App-Käufe sind tatsächlich nützlich (z.B. funktionelle Updates), es ist leicht, sie als sinnvoll zu betrachten und insofern auch eher Geld dafür auszugeben. Zudem sind es nicht nur spielerische Inhalte, sondern auch Medien- bzw. Erlebnis-Inhalte, deren Kauf kein negatives Image hat und mehr allgemeine Akzeptanz findet.
- Investitionen in Spiele haben nur kurz einen Wert, bald ist das Spiel nicht mehr interessant, die Preise verfallen (siehe Pokemon Go); bei einem sozialen Netzwerk bleiben meine Investments erhalten. 
- connect-Inhalte können verkauft, verschenkt und vertauscht werden, die Inhalte behalten dadurch an Wert. Das gilt für ALLE Freunde, nicht nur für fremde Gamer.
- Allein ein tauschbares, züchtbares interaktives, täuschend realistisches Haustier in VR wie z.B. ein Tigerbaby - dafür (oder für eine komplett neues Zuhause, z.B. einem Star Wars Raumschiff oder auf einem Piratenschiff) sind User eher bereit 1-15 € zu zahlen, als für Futter für einen "Pou" (bitte googlen). 
- Unsere In-App-Käufe sprechen zudem eine viel größere Zielgruppe an (z.B. VR Sex, VR Haustiere oder süße virtuelle Geschenke für Freunde oder nützliche Funktionen), als klassische In-App-Käufe in sehr spezifischen Spielen.
- connect wird eine Geldmaschine und unsere Schätzwerte sind (mittelfristig) lächerlich gering. 
- Ich könnte ein 500-Seiten-Buch darüber schreiben, warum wir viiiiel höhere Einnahmen durch In-App-Einnahmen haben werden, als der Durchschnitt in den zitierten Quellen. Das ist ein Thema, das wir diskutieren sollten.</t>
        </r>
      </text>
    </comment>
    <comment ref="C21" authorId="0">
      <text>
        <r>
          <rPr>
            <b/>
            <sz val="9"/>
            <color indexed="81"/>
            <rFont val="Tahoma"/>
            <family val="2"/>
          </rPr>
          <t>Michael Schöggl:</t>
        </r>
        <r>
          <rPr>
            <sz val="9"/>
            <color indexed="81"/>
            <rFont val="Tahoma"/>
            <family val="2"/>
          </rPr>
          <t xml:space="preserve">
</t>
        </r>
        <r>
          <rPr>
            <b/>
            <sz val="9"/>
            <color indexed="81"/>
            <rFont val="Tahoma"/>
            <family val="2"/>
          </rPr>
          <t>Um wieviel € pro Quartal werden sich die In-App-Ausgaben der User erhöhen lassen?</t>
        </r>
        <r>
          <rPr>
            <sz val="9"/>
            <color indexed="81"/>
            <rFont val="Tahoma"/>
            <family val="2"/>
          </rPr>
          <t xml:space="preserve">
</t>
        </r>
        <r>
          <rPr>
            <u/>
            <sz val="9"/>
            <color indexed="81"/>
            <rFont val="Tahoma"/>
            <family val="2"/>
          </rPr>
          <t>Begründung für diesen Wert</t>
        </r>
        <r>
          <rPr>
            <sz val="9"/>
            <color indexed="81"/>
            <rFont val="Tahoma"/>
            <family val="2"/>
          </rPr>
          <t>:
- Je mehr Inhalte wir anbieten, umso mehr wird auch gekauft. 
- Ist die Hemmschwelle mal gefallen, werden Stammkunden schneller und leichter weitere Käufe tätigen.
- Im Laufe der Quartale sammeln sich "Stammkunden" an, deren Verbundenheit mit connect immer stärker wird. Diese werden einen Sammlerehrgeiz entwickeln und möglichst viel / alles kaufen, was kaufbar ist.
- Wir werden die Anzahl der kaufbaren Inhalte zu Beginn sehr gering und überschaubar halten, damit ein Sammler-Instinkt entstehen kann (wenn es unmöglich ist, alles zu besitzen, wird dieser abgewürgt). Ein Prozentsatz der User wird versuchen alles zu erwerben, was es gibt. Langsam werden wir diese Anzahl steigern, d.h. es kommen mehr neue monatliche Inhalte dazu.
- Je mehr User connect bekommt, umso mehr Motivation entsteht, Freunden etwas zu kaufen und zu schenken (weil mehr Freunde auch connect verwenden).
- Je mehr User connect hat, umso eher werden In-App-Käufe ein positives, sozial angesehenes Image entwickeln. Die Hemmschwelle sinkt, auch deshalb, weil durch die Tauschbarkeit der Items der fiktive Wert nicht so leicht verloren geht.
- Zeitlich begrenzte Kaufmöglichkeiten werden dazu führen, dass manche User ihren Einkauf teurer weiterverkaufen können, weil die Userzahl und damit die Nachfrage gestiegen ist. Solche Strategien können wir nur im Laufe der Zeit entwickeln, wenn wir aber dieses Image der "Wertigkeit" unserer Inhalte erreicht haben, werden auch mehr Menschen Geld ausgeben.
- Der VR-Markt wächst, das Interesse an VR wächst, mehr Prozent unserer User werden VR-Technik verwenden und damit werden auch unsere klassischen VR-In-App-Käufe wie z.B. virtuelle Szenen / Räume / Einrichtungen an Beliebtheit zunehmen.</t>
        </r>
      </text>
    </comment>
    <comment ref="A22" authorId="0">
      <text>
        <r>
          <rPr>
            <b/>
            <sz val="9"/>
            <color indexed="81"/>
            <rFont val="Tahoma"/>
            <family val="2"/>
          </rPr>
          <t>Michael Schöggl:</t>
        </r>
        <r>
          <rPr>
            <sz val="9"/>
            <color indexed="81"/>
            <rFont val="Tahoma"/>
            <family val="2"/>
          </rPr>
          <t xml:space="preserve">
- Im virtuellen Zuhause der User werden alle Objekte Markenprodukte sein und da jedes Objekt eine Funktion hat (z.B. Fotos machen mit der Kamera), wird diese unterschwellige Product Placement Werbung nicht als aufdringlich wahrgenommen.
- Aktuell gibt es 2 Räume mit rund 15 verschiedenen Markenprodukten, langfristig wird der User sein virtuelles Zuhause um zahlreiche Räume erweitern, es wird komplett neue Szenen geben (z.B. eine Bar, um andere User zu treffen, Kino, Stadt, etc.). Dadurch werden immer mehr "Slots" für Markenprodukte geschaffen.
- Der User kann (in seinem eigenen Zuhause) alles individualisieren und wird z.B. regelmäßig neue Kamera-Modelle anzeigen, auch, weil er ein gewisses Interesse daran hat, immer das Neueste virtuell zu besitzen. Dadurch verdienen wir pro Slot und Jahr mehrmals, bei mehreren unterschiedlichen Markenprodukten. 
- Es gibt viele psychologische Gründe (siehe Kommentare bei den Werte), warum diese Form der Werbung effektiver ist, als alle anderen Zugänge, die es aktuell weltweit gibt.
- Der User wird die Möglichkeit haben, sich zu allen Objekten Informationen anzeigen zu lassen, z.B. wo er es um welchen (günstigsten) Preis kaufen kann, wie lang die Lieferung dauert, welche Bewertungen andere gegeben haben und welche technischen Eigenschaften die Objekte haben. Mittelfristig kann er sie direkt über uns bestellen, in Zusammenarbeit mit Amazon / Alibaba bzw. längerfristig eventuell durch einen eigenen Vertrieb (siehe dazu 2.5 Provision für direkte Online-Einkäufe). </t>
        </r>
      </text>
    </comment>
    <comment ref="B22" authorId="0">
      <text>
        <r>
          <rPr>
            <b/>
            <sz val="9"/>
            <color indexed="81"/>
            <rFont val="Tahoma"/>
            <family val="2"/>
          </rPr>
          <t xml:space="preserve">Michael Schöggl:
Wieviel € pro Monat und User verdienen wir mit Product Placement?
</t>
        </r>
        <r>
          <rPr>
            <u/>
            <sz val="9"/>
            <color indexed="81"/>
            <rFont val="Tahoma"/>
            <family val="2"/>
          </rPr>
          <t>Begründung für diesen Wert</t>
        </r>
        <r>
          <rPr>
            <sz val="9"/>
            <color indexed="81"/>
            <rFont val="Tahoma"/>
            <family val="2"/>
          </rPr>
          <t>:
- Wir werden mindestens folgende Prämien verlangen (die Preise könnten nach genauer Prüfung auch höher angesetzt werden, hier wollen wir mit vielen Experten und Partnern sprechen): 
&gt; 1 hour:      0.15 €/$ 
&gt; 2 hours: + 0.12 €/$ 
&gt; 3 hours: + 0.10 €/$ 
&gt; 4 hours: + 0.08 €/$ 
&gt; 5 hours: + 0.05 €/$
= insgesamt maximal 50 Cent.</t>
        </r>
        <r>
          <rPr>
            <sz val="9"/>
            <color indexed="81"/>
            <rFont val="Tahoma"/>
            <family val="2"/>
          </rPr>
          <t xml:space="preserve">
- Die Werbung ist unterschwellig, nicht aufdringlich, wirkt über Stunden, Tage oder Monate (statt Sekunden), die Objekte sind interaktiv und teilweise lustig, der User gewöhnt sich an sie, baut eine Bindung zu ihnen auf. Die Werbung ist ganz nahe an der Realität (keine abstrakte Verbindung) und wir können das positive Erlebnis mit den Objekten gezielt steuern (durch z.B. lustige, spannende, positive Ereignisse).
- Jeder NEUE Werbezugang trifft zu Beginn auf weniger Abwehr, warum Profis immer nach neuen Zugängen suchen, die noch nicht durch viele Konkurrenten überlaufen sind und beim Kunden zur Sättigung und Abwehr führen. Daher ist unser Werbezugang äußerst effektiv. 
- Der User wird alle Objekte in 3D von allen Seiten bewundern können, kann sie hochheben, neu platzieren. Er kann Materialien austauschen (z.B. bei Möbeln das Funier oder den Bezug wechseln) und sich somit alles so gestalten, wie es ihm gefällt. Die Objekte, die er im Raum hat, werden seinem Geschmack entsprechen (zielgruppenspezifisch) und der User wird seine Entscheidung aufgrund des Bedürfnisses "Recht zu behalten" gegenüber sich und anderen verteidigen, er wird zum Verfechter seiner Wahl. 
- Weitere Infos und Argumente: siehe Wert rechts und Beschreibung links!
</t>
        </r>
      </text>
    </comment>
    <comment ref="C22" authorId="0">
      <text>
        <r>
          <rPr>
            <b/>
            <sz val="9"/>
            <color indexed="81"/>
            <rFont val="Tahoma"/>
            <family val="2"/>
          </rPr>
          <t>Michael Schöggl:</t>
        </r>
        <r>
          <rPr>
            <sz val="9"/>
            <color indexed="81"/>
            <rFont val="Tahoma"/>
            <family val="2"/>
          </rPr>
          <t xml:space="preserve">
</t>
        </r>
        <r>
          <rPr>
            <b/>
            <sz val="9"/>
            <color indexed="81"/>
            <rFont val="Tahoma"/>
            <family val="2"/>
          </rPr>
          <t>Um wieviel Cent pro Quartal werden sich die monatlichen Einnahmen durch Product Placement erhöhen?</t>
        </r>
        <r>
          <rPr>
            <sz val="9"/>
            <color indexed="81"/>
            <rFont val="Tahoma"/>
            <family val="2"/>
          </rPr>
          <t xml:space="preserve">
</t>
        </r>
        <r>
          <rPr>
            <u/>
            <sz val="9"/>
            <color indexed="81"/>
            <rFont val="Tahoma"/>
            <family val="2"/>
          </rPr>
          <t>Begründung für diesen Wert</t>
        </r>
        <r>
          <rPr>
            <sz val="9"/>
            <color indexed="81"/>
            <rFont val="Tahoma"/>
            <family val="2"/>
          </rPr>
          <t xml:space="preserve">:
- Wie im Kommentar der Beschreibung links dargestellt, gibt es zu Beginn rund 15 Slots in den aktuell 2 Räumen, um Markenprodukte anzuzeigen. Unsere VR-Welt wächst, es werden im Laufe der Zeit hunderte Slots werden. Da der User regelmässig seine eigenen Objekte im Raum im Zuge der Individualisierung austauschen wird (z.B. im Schnitt alle 3 Monate die Möbel) und wir bei öffentlichen Räumen (z.B. Bar, Stadt, etc.) gleich verfahren, können wir pro Slot mehrmals pro Jahr mit Einnahmen von unterschiedlichen Partnern rechnen. Jeder Slot wird also mehr bringen, als 50 Cent pro User.
- Wir rechnen hier mit extrem vorsichtigen, bescheidenen Werten. Statistische Daten zeigen, dass User im Durchschnitt mehrere Stunden am Tag aktiv sind, in einem virtuellen Zuhause bzw. einer virtuellen Welt vllt sogar mehr. Je aktiver, umso länger betrachtet er die Product Placement Werbung. 
- Bei 27 Cent pro User und Monat würden wir davon ausgehen, dass der User in diesem Monat nur eines der aktuell 15 Objekte für mehr als 2 Stunden gesehen hat, oder 2 Objekte für jeweils mehr als 1 Stunde (siehe Preisgestaltung im Kommentar links). 
- Natürlich liegen die meisten Objekte direkt im Blick der Standard-Bildschirmausschnitte, die der User regelmäßig verwendet, z.B. am virtuellen Schreibtisch, wo alle Social Network Funktionen zu finden sind. Da die Objekte alle Funktionen haben, werden sie zwangsläufig regelmäßig betrachtet.
- Es ist extrem viel Luft nach oben. Langfristig könnten User pro Monat bei 50 Objekten die Obergrenze von 5 Stunden Betrachtung erreichen, das wären dann 25 € pro MONAT! 
- Zudem sind unsere Preise mehr als moderat und könnten deutlich höher sein, oder angehoben werden (wenn sich immer mehr Unternehmen um unsere Werbung streiten - vgl. Google/Facebook: die Preise sind dann die Höchstgebote). 
- Darum rechnen wir natürlich mit einer Steigerung der Einnahmen pro Quartal, 10 Cent sind sehr pessimistisch und locker zu erreichen. </t>
        </r>
      </text>
    </comment>
    <comment ref="A23" authorId="0">
      <text>
        <r>
          <rPr>
            <b/>
            <sz val="9"/>
            <color indexed="81"/>
            <rFont val="Tahoma"/>
            <family val="2"/>
          </rPr>
          <t xml:space="preserve">Michael Schöggl:
</t>
        </r>
        <r>
          <rPr>
            <sz val="9"/>
            <color indexed="81"/>
            <rFont val="Tahoma"/>
            <family val="2"/>
          </rPr>
          <t xml:space="preserve">
- Ca. 30% Provision an allen Verkäufen.
- Zu Beginn bringt uns dieser Zugang weniger, als unser eigener In-App-Shop unter 2.1, aber je mehr User wir haben, umso mehr Drittanbieter werden Inhalte für connect bauen und umso mehr Kaufmöglichkeiten werden User haben und auch nutzen. 
- Große Unternehmen wie Walt Disney sollen z.B. ihre Welten als VR-Szene bereitstellen - z.B. Star Wars oder Fluch der Karibik. Für solche fotorealistischen, interaktiven VR-Szenen können die Preise deutlich höher sein (ca. 5-10 €), als bei virtuellen Haustieren, Spielen, Gimmicks und Co.</t>
        </r>
      </text>
    </comment>
    <comment ref="B23" authorId="0">
      <text>
        <r>
          <rPr>
            <b/>
            <sz val="9"/>
            <color indexed="81"/>
            <rFont val="Tahoma"/>
            <family val="2"/>
          </rPr>
          <t>Michael Schöggl:</t>
        </r>
        <r>
          <rPr>
            <sz val="9"/>
            <color indexed="81"/>
            <rFont val="Tahoma"/>
            <family val="2"/>
          </rPr>
          <t xml:space="preserve">
</t>
        </r>
        <r>
          <rPr>
            <b/>
            <sz val="9"/>
            <color indexed="81"/>
            <rFont val="Tahoma"/>
            <family val="2"/>
          </rPr>
          <t>Wieviel € pro Monat verdienen wir durch Provision an Drittanbieter-Inhalten?</t>
        </r>
        <r>
          <rPr>
            <sz val="9"/>
            <color indexed="81"/>
            <rFont val="Tahoma"/>
            <family val="2"/>
          </rPr>
          <t xml:space="preserve">
</t>
        </r>
        <r>
          <rPr>
            <u/>
            <sz val="9"/>
            <color indexed="81"/>
            <rFont val="Tahoma"/>
            <family val="2"/>
          </rPr>
          <t>Begründung für diesen Wert</t>
        </r>
        <r>
          <rPr>
            <sz val="9"/>
            <color indexed="81"/>
            <rFont val="Tahoma"/>
            <family val="2"/>
          </rPr>
          <t>:
- Der Start wird sehr bescheiden sein, weil es nur wenige Drittanbieter geben wird. Durch den zweiten Wert (siehe Spalte rechts) wird der Zugewinn an weiteren Drittanbieter dargestellt, durch den dieses Geschäftsmodell sehr schnell an Bedeutung gewinnt.
- Der Wert ist auch deshalb deutlich geringer, als für In-App-Käufe, weil wir nur einen Anteil erhalten, nicht die volle Summe. Wir werden rund 30% an Provision verlangen.</t>
        </r>
      </text>
    </comment>
    <comment ref="C23" authorId="0">
      <text>
        <r>
          <rPr>
            <b/>
            <sz val="9"/>
            <color indexed="81"/>
            <rFont val="Tahoma"/>
            <family val="2"/>
          </rPr>
          <t>Michael Schöggl:</t>
        </r>
        <r>
          <rPr>
            <sz val="9"/>
            <color indexed="81"/>
            <rFont val="Tahoma"/>
            <family val="2"/>
          </rPr>
          <t xml:space="preserve">
</t>
        </r>
        <r>
          <rPr>
            <b/>
            <sz val="9"/>
            <color indexed="81"/>
            <rFont val="Tahoma"/>
            <family val="2"/>
          </rPr>
          <t>Um wieviel € pro Quartal erhöhen sich unsere monatlichen Einnahmen durch Provision für Drittanbieter-Inhalte?</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mehr Drittanbieter werden über uns Inhalte verkaufen (z.B. alternative 3D-Umgebungen, virtuelle Haustiere oder klassische Merchandising-Produkte in VR).
- Die Zahl ist gleich hoch, wie bei In-App-Käufen, stellt aber eine fast dreimal so schnelle Steigerung dar, weil wir nur ca. 30% an Provision von diesen In-App-Inhalten erhalten werden. Wir gehen aber davon aus, dass rund 3/4 aller verfügbaren In-App-Käufe von Drittanbietern stammen werden und diese Einnahmequelle langfristig die Einnahmen durch eigene Inhalte überholen wird. 
- Wir werden nur Inhalte von Partnern zulassen, die höchsten Qualitätsansprüchen genügen und auch nur dann, wenn sie vor der Entwicklung abgesprochen waren. Wir werden es um jeden Preis verhindern, dass mindere Qualität unser Image zerstört, alle Inhalte müssen a.) funktionell und interaktiv, b.) möglichst fotorealistisch c.) preislich fair (d.h. eher günstig, Massenmarkt) sein. 
- Wir wollen auf keinen Fall, dass der Sammler-Instinkt unserer User durch ein Überangebot (noch dazu von schlechter Qualität - wo der Einkauf als unfair empfunden wird und die Zufriedenheit riskiert) zerstört wird. Es soll möglich bleiben, dass ein User alles kauft, was es gibt - ohne dass er dabei mehr als rund 1000 € ausgibt. Besonders seltene Inhalte werden nicht kaufbar sein (sondern z.B. Aufwand bedeuten oder durch Zufall limitiert), da bereits ein einziger kaufbarer Inhalt, der zu teuer ist, den Sammeltick bei fast allen Menschen zerstören würde.
- Geplante maximale Gesamtausgaben (wenn ein User alles kaufbare kauft): 2020: 70 €, 2021: 200 €, 2022: 400 €, ... 2023: 1000 €. Wir wollen, dass möglichst viele Menschen möglichst alles kaufen / sammeln. 
- Wir werden Anreize (Belohnungen, Visualisierungen, Titel etc.) für User schaffen, die alle kaufbaren Inhalte gesammelt haben (ebenso wie alle, die man z.B. durch den Tresor oder durch Erfolge erhalten kann, etc. - aber da wird das Erreichen des Ziels viel schwieriger sein, weshalb viele sich als Ersatz den Erfolg für alle kaufbaren Inhalte holen werden). </t>
        </r>
      </text>
    </comment>
    <comment ref="D23" authorId="0">
      <text>
        <r>
          <rPr>
            <b/>
            <sz val="9"/>
            <color indexed="81"/>
            <rFont val="Tahoma"/>
            <family val="2"/>
          </rPr>
          <t>Michael Schöggl:</t>
        </r>
        <r>
          <rPr>
            <sz val="9"/>
            <color indexed="81"/>
            <rFont val="Tahoma"/>
            <family val="2"/>
          </rPr>
          <t xml:space="preserve">
- Der Schätzwert zu Frage 7 (Einnahmen durch 2.3, 2.4 und 2.5) wird gleichmäßig auf 2.3, 2.4 und 2.5 aufgeteilt. In Wirklichkeit wird die Verteilung zwar ziemlich sicher nicht gleichmäßig sein, aber für das Ergebnis ist das irrelevant.</t>
        </r>
      </text>
    </comment>
    <comment ref="A24" authorId="0">
      <text>
        <r>
          <rPr>
            <b/>
            <sz val="9"/>
            <color indexed="81"/>
            <rFont val="Tahoma"/>
            <family val="2"/>
          </rPr>
          <t>Michael Schöggl:</t>
        </r>
        <r>
          <rPr>
            <sz val="9"/>
            <color indexed="81"/>
            <rFont val="Tahoma"/>
            <family val="2"/>
          </rPr>
          <t xml:space="preserve">
- Wenn User über uns zu VR-Shops vermittelt werden und in diesen einkaufen, verlangen wir zwischen 1 bis 5 % an Provision (der Wert steht noch nicht fest, er soll mit Experten und Partnern besprochen werden). 
- VR-Shops müssen irgendwie an User kommen, diese sind in der Regel zu faul, um extra dafür eine Software runterzuladen, sich anzumelden, auf Gerätekompatibilität zu prüfen, ihre Bezahldaten für jeden Shop extra anzugeben, etc. Daher könnten wir das "Amazon in VR" werden, wir übernehmen diesen Service und verlangen dafür Provision. 
- Wir könnten auch das Erstellen von VR-Shops anbieten, damit diese bestmöglich unseren Anforderungen entsprechen. Allgemein aber ist connect so gestaltet, dass bestmöglich Schnittstellen zu VR-Shops unterstützt. Wir arbeiten mit Unity, einer Game Enigne, mit der rund 70 % der gesamten VR/AR-Software weltweit erstellt wird. Alle Unity-Szenen wären plattformunabhängig und leicht mit uns verknüpfbar. 
- Wir wollen mittelfristig ein Baukasten-System anbieten, mit dem jeder Partner sehr einfach einen VR-Shop in Unity erstellen kann und mit unserem Netzwerk anknüpfen. Dasselbe haben wir für Medien bereits gemacht - dort gibt es bereits eine Online-Plattform für die Verknüpfung aller Video-, Audio-, Print- oder Internet-Medien mit unserem virtuellen Zuhause. Der Aufwand beträgt weniger als 30 Minuten, auch der Aufwand für VR-Shops soll minimalisiert werden. 
- Ein Baukasten könnte den Partnern ermöglichen, dass sie sich sehr schnell einen Shop zusammenbasteln, mit Logos, Einrichtung und Design schmücken und nur noch ihre eigenen, verkaufbaren Produkte als 3D-Modelle einbringen müssen. Diese existieren schon jetzt für die meisten Produkte, weil die "Fotos" auf Amazon keine Fotos sondern 3D-Renderings von 3D-Modellen sind. 
- Wir haben mit einer Vielzahl von internationalen Unternehmen bei Business-Veranstaltungen gesprochen und wissen genau, worauf es ankommt und wie wir hier das einfachste, attraktivste Modell einer Zusammenarbeit gestalten müssen. 
- Auch ohne unseren Baukasten: Wer einen VR-Shop baut, wird gut darin beraten sein, ihn Unity-tauglich zu kreieren, weil er ihn nur so kompatibel mit vielen Plattformen (Hardware) und Netzwerken (Software) gestalten kann. 
- Oculus (Facebook) und Amazon versuchen einen restriktiven Weg zu gehen und eine eigene Enigne für die Erstellung von VR-Inhalten anzubieten (es gibt bisher nur Ankündigungen), aber dann wären alle Partner "gefangen" und abhängig und würden nur über eine Hardware (Oculus Brille) bzw. einen Anbieter (Amazon) ihre Shops anbinden können. Es ist sehr wahrscheinlich, dass es uns gelingt, mehr Partner durch eine nicht restriktive Politik zu gewinnen, weil deren Shops nicht nur mit unserem Produkt funktionieren würden, sondern bei ca. 90% aller Anbieter. Außerdem ist die Enigne Unity mit 12 Jahren Vorsprung viel besser, als die noch unfertigen Neuentwicklungen von Amazon und Facebook. Wir sind hier vergleichbar mit Microsoft bzw. Android (unterstützen möglichst alles) versus Apple bzw. iPhone (restriktive Politik, die von FB und Amazon kopiert wird).</t>
        </r>
      </text>
    </comment>
    <comment ref="B24" authorId="0">
      <text>
        <r>
          <rPr>
            <b/>
            <sz val="9"/>
            <color indexed="81"/>
            <rFont val="Tahoma"/>
            <family val="2"/>
          </rPr>
          <t>Michael Schöggl:</t>
        </r>
        <r>
          <rPr>
            <sz val="9"/>
            <color indexed="81"/>
            <rFont val="Tahoma"/>
            <family val="2"/>
          </rPr>
          <t xml:space="preserve">
</t>
        </r>
        <r>
          <rPr>
            <b/>
            <sz val="9"/>
            <color indexed="81"/>
            <rFont val="Tahoma"/>
            <family val="2"/>
          </rPr>
          <t xml:space="preserve">
Wieviel € werden wir pro Monat an Provision für die Vermittlung unserer User zu VR-Shops erhalten?</t>
        </r>
        <r>
          <rPr>
            <sz val="9"/>
            <color indexed="81"/>
            <rFont val="Tahoma"/>
            <family val="2"/>
          </rPr>
          <t xml:space="preserve">
</t>
        </r>
        <r>
          <rPr>
            <u/>
            <sz val="9"/>
            <color indexed="81"/>
            <rFont val="Tahoma"/>
            <family val="2"/>
          </rPr>
          <t>Begründung für diesen Wert</t>
        </r>
        <r>
          <rPr>
            <sz val="9"/>
            <color indexed="81"/>
            <rFont val="Tahoma"/>
            <family val="2"/>
          </rPr>
          <t xml:space="preserve">:
- Der Wert startet sehr bescheiden, weil zu Beginn (ab 2021) noch wenige VR-Shops an uns angebunden sein werden und auch nur wenige erste Early Adopter User in VR einkaufen werden. 
- Die Steigerung rechts ist deutlich höher (siehe Begründung dafür im Kommentar rechts). 
- Wir werden ca. 2 - 10 % an Provision für Einkäufe, die durch uns vermittelt wurden, verlangen. Dieser Wert soll noch von Experten und in Absprache mit Partnern geprüft und gegebenfalls angepasst werden. 
</t>
        </r>
      </text>
    </comment>
    <comment ref="C24" authorId="0">
      <text>
        <r>
          <rPr>
            <b/>
            <sz val="9"/>
            <color indexed="81"/>
            <rFont val="Tahoma"/>
            <family val="2"/>
          </rPr>
          <t>Michael Schöggl:
Um wieviel € pro Quartal steigern sich unsere monatlichen Einnahmen durch Provision für VR-Shops?</t>
        </r>
        <r>
          <rPr>
            <sz val="9"/>
            <color indexed="81"/>
            <rFont val="Tahoma"/>
            <family val="2"/>
          </rPr>
          <t xml:space="preserve">
</t>
        </r>
        <r>
          <rPr>
            <u/>
            <sz val="9"/>
            <color indexed="81"/>
            <rFont val="Tahoma"/>
            <family val="2"/>
          </rPr>
          <t>Begründung für diesen Wert</t>
        </r>
        <r>
          <rPr>
            <sz val="9"/>
            <color indexed="81"/>
            <rFont val="Tahoma"/>
            <family val="2"/>
          </rPr>
          <t xml:space="preserve">:
- Die ersten Unternehmen, die ihre Waren auch zum Kauf in VR-Shops anbieten, werden allein durch die Neugier der VR-User, die solche Shops mal erleben wollen, eine neue, zusätzliche Zielgruppe erschließen.
- Selbst, wenn das nicht stimmt: kein großes Unternehmen wird es sich leisten können, diesen Markt zu verschlafen. Wer würde schon gerne das Online-Shopping komplett verschlafen? Es gehört beinahe zur Pflicht eines großen Unternehmens, im Zuge der Risikominimierung, möglichst rasch auch einen VR-Shop anzubieten (Beispiele wie Kodak oder Nokia schrecken Manager, die sich gegenüber Aktionären verantworten müssen, ab).
- Die Erstellung eines VR-Shops kostet nicht mehr als ca. 100.000 bis 2 Millionen Euro. Wir könnten solche Auftragsarbeiten auch anbieten, wenn wir wollen! (Nachfrage haben wir bereits mehr als genug erhalten). 
- Das Feedback von mehr als einem Dutzend großer Unternehmen (darunter Porsche, A1, Red Bull, Deutsche Telekom, Wirecard, Casino-Anbieter etc.) war, dass sie ernsthaft an einem VR-Shop interessiert sind, ihn uns in Auftrag geben würden oder bereits selbst daran arbeiten. 
- Auch Statistiken (siehe Quelle 17) belegen, dass viele Unternehmen sehr bald (wir rechnen ab 2021) VR-Shops anbieten werden. Zudem belegen sie (siehe Quelle 5), dass Shopping-Apps im Schnitt pro User rund 2,68 € pro Monat verdienen. 
- Wir haben connect (mit der weitweit größten VR- und Game Engine Unity) so modular und erweiterbar entwickelt, dass unsere App mit möglichst vielen VR-Erlebnissen verknüpft werden kann. Es wird uns leichter, als anderen Mitbewerbern fallen, fast jeden VR-Inhalt (und somit auch Shops) anzubinden. Selbst, wenn das in einigen Fällen nicht automatisch gehen sollte, wäre der Aufwand für ein Unternehmen, ihren Shop für uns anknüpfbar zu machen, sehr gering (3D kann importiert werden und für die Funktionalität des Einkaufens bieten wir eine eigene Lösung an).
- Es ist unser Ziel, connect zum größten VR-Netzwerk der Welt zu entwickeln, also so flexibel erweiterbar, dass möglichst jeder VR-Inhalt mit unserer VR-Welt verbunden werden kann. Wir haben hier sehr viel Zeit und Geld in die Entwicklung eines plattformunabhängigen, modularen Systems gesteckt, das diesen Anforderungen besser als jeder Mitbewerber gerecht werden kann. Details bitte persönlich besprechen. 
- VR-Shopping wird langfristig einen ähnlich großen Markt wie Online-Shopping erzielen und wenn es uns gelingt, DIE Anlaufstelle für VR-Shops zu werden, um an neue Kunden zu kommen, dann wird dieses Geschäftsmodell mit Abstand alle übrigen (ohnehin bereits sehr lukrativen) in den Schatten stellen. 
- Kein Mensch lädt eine eigene Software herunter, registriert sich extra, stellt Bezahlmöglichkeiten ein, kümmert sich um Updates, Patches und Geräteinkompatibilitäten, nur, um Zugang zu einem VR-Shop zu erhalten, dessen Anbieter er nicht einmal kennt. Die User müssen komplett ohne Aufwand auf die Idee gebracht werden, dass es diese Produkte in VR zu kaufen gibt und sie ihrem Interesse entsprechen. Sie laufen durch eine virtuelle Stadt, wo jene Shops, die sie speziell interessieren, instanziert werden, oder sie bekommen Vorschläge am virtuellen Fernseher (wie TV-Sender) und teleportieren sich rein.
- Jeder Anbieter eines VR-Shops wird auf eine Vermittlung wie die unsere angewiesen sein, um an Kunden zu kommen. Menschen kaufen auch lieber bei Amazon ein, als den Online-Shop eines unbekannten kleines Anbieters zu suchen, zu finden und sich dort anzumelden. In VR ist der Aufwand noch viel höher, weil eine 3D-Shop-Umgebung manuell heruntergeladen und installiert werden müsste, anstatt über uns automatisch verknüpft zu werden.
- Eine Steigerung um rund 10 Cent pro Quartal ist realistisch, das entspräche bei 5% Provision einem Anwachsen der durchschnittlichen monatlichen Shopping-Ausgaben um 2 € (bzw. 8 € pro Jahr). Verglichen mit den Einkünften durch Online-Shopping, ist das sehr vorsichtig.
- VR-Shops haben werden langfristig deutlich beliebter sein, als Online-Shops, weil der User seine Einkäufe an seinem virtuellen Avatar (Spielfigur) in fotorealistischer Grafik erproben kann. Z.B. sammelt eine Frau hunderte virtuelle Schuhe aus VR-Shops in ihrem virtuellen Zuhause, probiert diese mit ihrem Avatar (der aussieht, wie sie) an und bestellt ihre Lieblingsschuhe dann direkt über connect bzw. den angebundenen VR-Shop. Darüber kann jedes Produkt in VR von allen Seiten betrachtet werden und der User kann damit interagieren, z.B. Kamera-Funktionen ausprobieren oder aus verschiedenen Modellen wählen (z.B. verschiedene Materialien, Farben etc.). Die VR-Welt ist auch übersichtlicher und virtuell erprobte Produkte lassen sich in VR Freunden zeigen, was zu Feedback und Bestätigung ("Ja, das Kleid steht dir!") führt. </t>
        </r>
      </text>
    </comment>
    <comment ref="D24" authorId="0">
      <text>
        <r>
          <rPr>
            <b/>
            <sz val="9"/>
            <color indexed="81"/>
            <rFont val="Tahoma"/>
            <family val="2"/>
          </rPr>
          <t>Michael Schöggl:</t>
        </r>
        <r>
          <rPr>
            <sz val="9"/>
            <color indexed="81"/>
            <rFont val="Tahoma"/>
            <family val="2"/>
          </rPr>
          <t xml:space="preserve">
- Der Schätzwert zu Frage 7 (Einnahmen durch 2.3, 2.4 und 2.5) wird gleichmäßig auf 2.3, 2.4 und 2.5 aufgeteilt. In Wirklichkeit wird die Verteilung zwar ziemlich sicher nicht gleichmäßig sein, aber für das Ergebnis ist das irrelevant.</t>
        </r>
      </text>
    </comment>
    <comment ref="A25" authorId="0">
      <text>
        <r>
          <rPr>
            <b/>
            <sz val="9"/>
            <color indexed="81"/>
            <rFont val="Tahoma"/>
            <family val="2"/>
          </rPr>
          <t>Michael Schöggl:</t>
        </r>
        <r>
          <rPr>
            <sz val="9"/>
            <color indexed="81"/>
            <rFont val="Tahoma"/>
            <family val="2"/>
          </rPr>
          <t xml:space="preserve">
- Alle Product Placement Objekte in connect sollen ab 2021 auch gekauft werden können. Wir sprechen bereits mit Wirecard bezüglich Bezahlsystem und Kooperation. 
- Eine Zusammenarbeit mit Amazon (für die Logistik) wäre perfekt, ansonsten könnten wir auch nur vermitteln und der Produzent übernimmt selbst den Versand. Wir würden dann direkt zwischen Produzent und Konsument vermitteln, Provision verdienen, den Zwischenhandel ausschalten und den Versand den Unternehmen (oder Amazon) überlassen. 
- Wir rechnen mit 10% an Provision (dieser Richtwert muss erst von Experten geprüft werden, aber wenn der gesamte Zwischenhandel wegfällt und nur der Vertrieb übrig bleibt, sollte das mehr als fair sein).
- Langfristig können praktisch alle Produkte in unserer VR-Welt repräsentiert werden, entweder im virtuellen Zuhause (mit Büro) der User (auch im echten Zuhause lassen sich 95% aller Konsum-Produkte im Zuhause oder Büro finden) oder in Social Places, wie z.B. Bar, Kino, Shop, Stadt, Urlaubsziel etc.
- Vorteil: Im echten Leben wäre es sehr aufwendig, kostspielig und aufgrund mangelnder Informationen kaum schaffbar, genau jene Produkte, die unsere User interessieren, dort virtuell zu platzieren, wo sie schnell und unaufdringlich wahrgenommen werden. In VR ist das kinderleicht. 
- Die Objekte hätten dieselbe Funktion wie im realen Leben (damit der Zugang spielerisch ist und der User häufig interagiert) und der User könnte frei entscheiden, welche Produkte auftauchen dürfen (bzw. er direkt selbst auswählt und platziert) und welche nicht (damit es keine aufdringliche Werbung ist - gilt natürlich nicht für Social Places).
- User richten ihr virtuelles Zuhause mit virtuellen Gegenständen ein, die sie jederzeit direkt bestellen können - oder sie können in connect einstellen, wann welche Markenprodukte automatisch geliefert werden sollen, z.B. wenn das Klopapier ausgeht. Die Darstellung eines Mangels könnte im VR-Zuhause mit dem realen Zuhause übereinstimmen.</t>
        </r>
      </text>
    </comment>
    <comment ref="B25" authorId="0">
      <text>
        <r>
          <rPr>
            <b/>
            <sz val="9"/>
            <color indexed="81"/>
            <rFont val="Tahoma"/>
            <family val="2"/>
          </rPr>
          <t>Michael Schöggl:</t>
        </r>
        <r>
          <rPr>
            <sz val="9"/>
            <color indexed="81"/>
            <rFont val="Tahoma"/>
            <family val="2"/>
          </rPr>
          <t xml:space="preserve">
</t>
        </r>
        <r>
          <rPr>
            <b/>
            <sz val="9"/>
            <color indexed="81"/>
            <rFont val="Tahoma"/>
            <family val="2"/>
          </rPr>
          <t>Wieviel € pro User nehmen wir durch Provision für den Einkauf von Product Placement Produkten innerhalb unserer eigenen VR-Inhalte ein?</t>
        </r>
        <r>
          <rPr>
            <sz val="9"/>
            <color indexed="81"/>
            <rFont val="Tahoma"/>
            <family val="2"/>
          </rPr>
          <t xml:space="preserve">
</t>
        </r>
        <r>
          <rPr>
            <u/>
            <sz val="9"/>
            <color indexed="81"/>
            <rFont val="Tahoma"/>
            <family val="2"/>
          </rPr>
          <t>Begründung für diesen Wert</t>
        </r>
        <r>
          <rPr>
            <sz val="9"/>
            <color indexed="81"/>
            <rFont val="Tahoma"/>
            <family val="2"/>
          </rPr>
          <t>:
- Im Gegensatz zur Provision, wenn User in einem fremden VR-Shop einkaufen, bezieht sich diese Provision auf den Einkauf von Produkten, die direkt in den virtuellen Szenen, die wir selbst anbieten, positioniert waren. 
- Zu Beginn, mit 2021, wird nur ein Teil der Product Placement Partner bereit sein, dieser Erweiterung auf In-App-Käufe zuzustimmen (schließlich müssen wir zeigen, dass sich der Aufwand lohnt). Durch erste Erfolgszahlen werden sich immer mehr überzeugen lassen. Wir rechnen also mit einem langsamen Start. 
- Es ist sehr schwer abzuschätzen, wieviele unserer User direkt über connect einkaufen werden. Über das Internet kaufen Menschen sehr gerne ein, ebenso über Amazon. Wenn es uns gelingen würde, zu einem der beliebtesten Einkaufsorte in VR zu werden, würden wir mit ca. 5-20 € pro User und Jahr (nicht Monat) rechnen können. Realistisch ist jedoch weiteraus weniger:
- Schätzwert 2021: Jeder 100ste User kauft einmal im Jahr über uns ein Produkt um durchschnittlich 100 € (die meisten Produkte, wie Möbel, technische Geräte etc. sind teurer) und wir erhalten 10% Provision daran. Das entspräche nicht ganz 1 Cent pro User und Monat, unser Startwert.</t>
        </r>
      </text>
    </comment>
    <comment ref="C25" authorId="0">
      <text>
        <r>
          <rPr>
            <b/>
            <sz val="9"/>
            <color indexed="81"/>
            <rFont val="Tahoma"/>
            <family val="2"/>
          </rPr>
          <t>Michael Schöggl:</t>
        </r>
        <r>
          <rPr>
            <sz val="9"/>
            <color indexed="81"/>
            <rFont val="Tahoma"/>
            <family val="2"/>
          </rPr>
          <t xml:space="preserve">
</t>
        </r>
        <r>
          <rPr>
            <b/>
            <sz val="9"/>
            <color indexed="81"/>
            <rFont val="Tahoma"/>
            <family val="2"/>
          </rPr>
          <t>Um wieviel € pro Quartal steigern sich die Einnahmen durch Provision für den Verkauf von Produkten direkt innerhalb der connect VR-Umgebung?</t>
        </r>
        <r>
          <rPr>
            <sz val="9"/>
            <color indexed="81"/>
            <rFont val="Tahoma"/>
            <family val="2"/>
          </rPr>
          <t xml:space="preserve">
</t>
        </r>
        <r>
          <rPr>
            <u/>
            <sz val="9"/>
            <color indexed="81"/>
            <rFont val="Tahoma"/>
            <family val="2"/>
          </rPr>
          <t>Begründung für diesen Wert</t>
        </r>
        <r>
          <rPr>
            <sz val="9"/>
            <color indexed="81"/>
            <rFont val="Tahoma"/>
            <family val="2"/>
          </rPr>
          <t>:
- Schätzwert 2021: Jeder 100ste User kauft einmal im Jahr über uns ein Produkt um durchschnittlich 100 € (die meisten Produkte, wie Möbel, technische Geräte etc. sind teurer) und wir erhalten 10% Provision daran. Das entspräche nicht ganz 1 Cent pro User und Monat, unser Startwert.
- Schätzwerte 2024: Jeder 10te User kauft pro Jahr über connect Produkte im Wert von 300 €, wir erhalten 10% Provision. Das entspräche 0,25 € pro User und Monat, unser Zielwert. 
- Langfristig können wir die Einnahmen über dieses Geschäftsmodell deutlich steigern, wenn unsere VR-Welt wächst (also unsere User auch virtuelle Kinokarten, Reisen, Flüge, Gutscheine, Möbel, Geschenke, Dekoration, etc. kaufen) oder wenn wir dieses Geschäftsmodell um Essens-Lieferservices oder Abos für Alltags-Konsumgüter bzw. Lebensmittel erweitern. 
- Beispiel 1: Wir bieten einen eigenen Lieferservice an, bei dem der User auf einer virtuellen Karte am Schreibtisch die Position der Lieferung verfolgen kann. Die Auswahl der Speisen erfolgt über virtuelle Darstellungen derselben (z.B. auf einem Teller am Schreibtisch). Wir bauen ein automatisches System, wo jedes Restaurant sich einfach anmelden kann und wir übernehmen die Lieferung (durch Studenten, die mit einer App den kürzesten Weg angezeigt bekommen und mit dem eigenen Auto für alle Restaurants im Einzugsgebiet gleichermaßen arbeiten). 
- Beispiel 2: Beim virtuellen Kühlschrank stelle ich ein, welche Produkte in welcher Menge im echten Kühlschrank aufzufinden sein sollen - und bevor sie vollständig aufgebraucht werden (oder spätestens danach), wird automatisch Nachschub geliefert. Dasselbe für den Inhalt von Regalen, für Drogerieprodukte, Tierfutter etc.
- Es gibt endlos viele Möglichkeiten, mit einer virtuellen Welt Geld zu verdienen, aber diese langfristigen Ideen (Beispiel 1 und 2) fließen nicht in unsere Prognose ein, dafür sind sie viel zu zukunftsfern. Daher rechnen wir zunächst mit 1 Cent bis knapp 25 Cent pro User und Monat, bzw. mit einer Steigerung um 2 Cent pro Quartal.</t>
        </r>
      </text>
    </comment>
    <comment ref="D25" authorId="0">
      <text>
        <r>
          <rPr>
            <b/>
            <sz val="9"/>
            <color indexed="81"/>
            <rFont val="Tahoma"/>
            <family val="2"/>
          </rPr>
          <t>Michael Schöggl:</t>
        </r>
        <r>
          <rPr>
            <sz val="9"/>
            <color indexed="81"/>
            <rFont val="Tahoma"/>
            <family val="2"/>
          </rPr>
          <t xml:space="preserve">
- Der Schätzwert zu Frage 7 (Einnahmen durch 2.3, 2.4 und 2.5) wird gleichmäßig auf 2.3, 2.4 und 2.5 aufgeteilt. In Wirklichkeit wird die Verteilung zwar ziemlich sicher nicht gleichmäßig sein, aber für das Ergebnis ist das irrelevant.</t>
        </r>
      </text>
    </comment>
    <comment ref="A26" authorId="0">
      <text>
        <r>
          <rPr>
            <b/>
            <sz val="9"/>
            <color indexed="81"/>
            <rFont val="Tahoma"/>
            <family val="2"/>
          </rPr>
          <t>Michael Schöggl:</t>
        </r>
        <r>
          <rPr>
            <sz val="9"/>
            <color indexed="81"/>
            <rFont val="Tahoma"/>
            <family val="2"/>
          </rPr>
          <t xml:space="preserve">
- Medien können ein monatliches Abo bezahlen, um an Big Data Informationen zu kommen.
- Zu Beginn werden nur wenige Medien dieses Abo verwenden, aber je mehr User wir haben, umso mehr Medien werden in connect vertreten sein und umso mehr Medien werden auch diese verhältnismäßig moderaten Kosten gerne bezahlen, um mehr Informationen über ihre Rezipienten zu erhalten. 
- Diese Informationen helfen den Medien, die Werbeerträge zu steigern, weil sie die gewonnenen Informationen auch ihren Werbepartnern weitergeben können. Somit macht sich ein Abo auf jeden Fall schnell bezahlt.
- Wir würden die Kosten so gestalten, dass sie basierend auf Erfahrungswerten den Medien einen netten Gewinn ermöglichen, wenn sie die User-Daten an die Werbepartner weiterverkaufen. 
- Wir rechnen damit, dass jedem Werbepartner die anonymisierten Daten über jeden erreichten Konsumenten rund 0,5 Cent wert sind (also 500 Euro bei 100.000 erreichten Kunden), wir davon 0,2 Cent verlangen können (0,3 Cent gehen an die Medienpartner und motivieren sie zu diesem "Abo") und dass unsere User im Monat rund 50 Werbungen in connect konsumieren. Das bedeutet Einnahmen in Höhe von rund 10 Cent pro User und Monat langfristig. 
</t>
        </r>
      </text>
    </comment>
    <comment ref="B26" authorId="0">
      <text>
        <r>
          <rPr>
            <b/>
            <sz val="9"/>
            <color indexed="81"/>
            <rFont val="Tahoma"/>
            <family val="2"/>
          </rPr>
          <t xml:space="preserve">Michael Schöggl:
Wieviel € pro Monat und User verdienen wir im Schnitt mit unserem Medien-Abo?
</t>
        </r>
        <r>
          <rPr>
            <u/>
            <sz val="9"/>
            <color indexed="81"/>
            <rFont val="Tahoma"/>
            <family val="2"/>
          </rPr>
          <t xml:space="preserve">
Begründung für diesen Wert</t>
        </r>
        <r>
          <rPr>
            <sz val="9"/>
            <color indexed="81"/>
            <rFont val="Tahoma"/>
            <family val="2"/>
          </rPr>
          <t xml:space="preserve">: </t>
        </r>
        <r>
          <rPr>
            <b/>
            <sz val="9"/>
            <color indexed="81"/>
            <rFont val="Tahoma"/>
            <family val="2"/>
          </rPr>
          <t xml:space="preserve">
</t>
        </r>
        <r>
          <rPr>
            <sz val="9"/>
            <color indexed="81"/>
            <rFont val="Tahoma"/>
            <family val="2"/>
          </rPr>
          <t xml:space="preserve">
- Wir rechnen damit, dass jedem Werbepartner die anonymisierten Daten über jeden erreichten Konsumenten rund 0,5 Cent wert sind (also 500 Euro bei 100.000 erreichten Kunden). 
- Davon sind 0,2 Cent für uns und 0,3 Cent gehen an die Medienpartner und motivieren sie zu Abschluss dieses "Abos".
- Unsere User werden im Monat im Schnitt zwischen 50 (Beginn) und 300 (langfristig) Werbbeiträge in Medien (Video, Audio, Internet, Print) konsumieren. Das bedeutet Einnahmen in Höhe von rund 10 bis 60 Cent pro Monat und User. 
- Für unsere Prognose starten wir vorsichtig mit 0,01 €, weil es eine Zeit dauern wird, bis unsere Medienpartner vom Abo überzeugt sind und es genügend Medien-Inhalte in connect gibt, sodass auch genügend Werbung darin enthalten ist, um diese Werte (50 pro Monat) zu erreichen.</t>
        </r>
      </text>
    </comment>
    <comment ref="C26" authorId="0">
      <text>
        <r>
          <rPr>
            <b/>
            <sz val="9"/>
            <color indexed="81"/>
            <rFont val="Tahoma"/>
            <family val="2"/>
          </rPr>
          <t>Michael Schöggl:</t>
        </r>
        <r>
          <rPr>
            <sz val="9"/>
            <color indexed="81"/>
            <rFont val="Tahoma"/>
            <family val="2"/>
          </rPr>
          <t xml:space="preserve">
</t>
        </r>
        <r>
          <rPr>
            <b/>
            <sz val="9"/>
            <color indexed="81"/>
            <rFont val="Tahoma"/>
            <family val="2"/>
          </rPr>
          <t>Um wieviel € pro Quartal werden sich die monatlichen Einnahmen durch das Medien-Abo erhöhen?</t>
        </r>
        <r>
          <rPr>
            <sz val="9"/>
            <color indexed="81"/>
            <rFont val="Tahoma"/>
            <family val="2"/>
          </rPr>
          <t xml:space="preserve">
</t>
        </r>
        <r>
          <rPr>
            <u/>
            <sz val="9"/>
            <color indexed="81"/>
            <rFont val="Tahoma"/>
            <family val="2"/>
          </rPr>
          <t>Begründung für diesen Wert</t>
        </r>
        <r>
          <rPr>
            <sz val="9"/>
            <color indexed="81"/>
            <rFont val="Tahoma"/>
            <family val="2"/>
          </rPr>
          <t>:
- Wir schätzen hier sehr vorsichtig, auch wenn wir langfristig bis zu 60 Cent pro User und Monat durch diesen Zugang einnehmen könnten. 
- Der Erfolg dieses Geschäftsmodells ist viel stärker, als der unserer anderen Einnahmequellen unsicher und schwer durch Vergleiche mit anderen Produkten abschätzbar. Dass ein Freemium-Modell funktioniert, haben tausende Apps bewiesen, ebenso, dass Product Placement funktionieren wird. Big Data hat zwar auch eine erfolgreiche Geschichte, aber in dieser Zugang über ein Abosystem ist relativ neu. 
- Es ist gut möglich, dass wir über dieses Geschäftsmodell deutlich mehr einnehmen können, als nun prognostiziert, aber es ist ebenso gut möglich, dass der Zugang überhaupt nicht funktioniert. Immerhin ist die Medienschnittstelle grundsätzlich kostenlos und ein optionales Abo mit Extrakosten muss sich erst durchsetzen. Der Mehrwert von Big Data Informationen für die Werbetreibenden zuerst und dann in Folge für die Medienpartner müsste erst bewiesen werden.</t>
        </r>
      </text>
    </comment>
    <comment ref="A27" authorId="0">
      <text>
        <r>
          <rPr>
            <b/>
            <sz val="9"/>
            <color indexed="81"/>
            <rFont val="Tahoma"/>
            <family val="2"/>
          </rPr>
          <t>Michael Schöggl:</t>
        </r>
        <r>
          <rPr>
            <sz val="9"/>
            <color indexed="81"/>
            <rFont val="Tahoma"/>
            <family val="2"/>
          </rPr>
          <t xml:space="preserve">
- Sehr langfristig (geplant ab 2021) können wir in der immer größer werdenden connect-Welt (erweitert durch Inhalte von Partnern, Drittanbietern und später vllt sogar der User selbst) auch virtuelle Grundstücke (z.B. an VR-Shops aber auch an User) verkaufen. 
- Ähnliches hat Second Life gemacht und das Interesse für Businesspartner war größer, als der tatsächliche Nutzen. Daher werden nun Business-Partner durch diese Lektion eher vorsichtig sein und es wird etwas dauern, bis sich dieser Zugang durchsetzt. 
- Wir listen hier dieses Geschäftsmodell auf, um bei sehr optimistischen Prognosen Einnahmen darstellen zu können, 
rechnen in einer realistischen Prognose aber nicht damit (0). 
- Zwischen der ersten Facebook Homepage und dem, was Facebook heute ist, besteht ein riesen Unterschied. Und auch connect wird sich bei Erfolg gewaltig weiterentwickeln und bestimmt längerfristig neue Geschäftsmodelle wie jenes des Verkaufs von virtuellen Grundstücken, bezahlten Teleportationen in einer riesigen Welt oder dem Kauf von Avataren (Spielerfiguren) oder deren Ausrüstung eröffnen. Aber es ist zu gewagt, diese Einnahmen jetzt schon unter der Bezeichnung "realistische Prognose" abzuschätzen.</t>
        </r>
      </text>
    </comment>
    <comment ref="B27" authorId="0">
      <text>
        <r>
          <rPr>
            <b/>
            <sz val="9"/>
            <color indexed="81"/>
            <rFont val="Tahoma"/>
            <family val="2"/>
          </rPr>
          <t>Michael Schöggl:</t>
        </r>
        <r>
          <rPr>
            <sz val="9"/>
            <color indexed="81"/>
            <rFont val="Tahoma"/>
            <family val="2"/>
          </rPr>
          <t xml:space="preserve">
</t>
        </r>
        <r>
          <rPr>
            <b/>
            <sz val="9"/>
            <color indexed="81"/>
            <rFont val="Tahoma"/>
            <family val="2"/>
          </rPr>
          <t>Wieviel € könnten wir langfristig mit dem Verkauf von virtuellen Grundstücken, Avataren, Ausrüstungen oder Teleportationen in einer riesigen VR-Welt verdienen?</t>
        </r>
        <r>
          <rPr>
            <sz val="9"/>
            <color indexed="81"/>
            <rFont val="Tahoma"/>
            <family val="2"/>
          </rPr>
          <t xml:space="preserve">
</t>
        </r>
        <r>
          <rPr>
            <u/>
            <sz val="9"/>
            <color indexed="81"/>
            <rFont val="Tahoma"/>
            <family val="2"/>
          </rPr>
          <t>Begründung für diesen Wert</t>
        </r>
        <r>
          <rPr>
            <sz val="9"/>
            <color indexed="81"/>
            <rFont val="Tahoma"/>
            <family val="2"/>
          </rPr>
          <t xml:space="preserve">:
- Zu viele Voraussetzungen, zeitlich zu weit entfernt, zu viele Unsicherheiten, zu wenig Vergleiche - daher gehen wir für die realistische Prognose von 0 Einnahmen aus. </t>
        </r>
      </text>
    </comment>
    <comment ref="C27" authorId="0">
      <text>
        <r>
          <rPr>
            <b/>
            <sz val="9"/>
            <color indexed="81"/>
            <rFont val="Tahoma"/>
            <family val="2"/>
          </rPr>
          <t>Michael Schöggl:</t>
        </r>
        <r>
          <rPr>
            <sz val="9"/>
            <color indexed="81"/>
            <rFont val="Tahoma"/>
            <family val="2"/>
          </rPr>
          <t xml:space="preserve">
</t>
        </r>
        <r>
          <rPr>
            <b/>
            <sz val="9"/>
            <color indexed="81"/>
            <rFont val="Tahoma"/>
            <family val="2"/>
          </rPr>
          <t>Um wieviel € pro Quartal könnten sich die Einnahmen durch den Verkauf von virtuellen Grundstücken, Avataren, Ausrüstungen oder Teleportationen in einer riesigen VR-Welt erhöhen?</t>
        </r>
        <r>
          <rPr>
            <sz val="9"/>
            <color indexed="81"/>
            <rFont val="Tahoma"/>
            <family val="2"/>
          </rPr>
          <t xml:space="preserve">
</t>
        </r>
        <r>
          <rPr>
            <u/>
            <sz val="9"/>
            <color indexed="81"/>
            <rFont val="Tahoma"/>
            <family val="2"/>
          </rPr>
          <t>Begründung für diesen Wert</t>
        </r>
        <r>
          <rPr>
            <sz val="9"/>
            <color indexed="81"/>
            <rFont val="Tahoma"/>
            <family val="2"/>
          </rPr>
          <t xml:space="preserve">:
- Zu viele Annahmen, zeitlich zu weit entfernt, zu viele Unsicherheiten, zu wenig Vergleiche - daher gehen wir für die realistische Prognose von 0 Einnahmen aus. </t>
        </r>
      </text>
    </comment>
    <comment ref="A28" authorId="0">
      <text>
        <r>
          <rPr>
            <b/>
            <sz val="9"/>
            <color indexed="81"/>
            <rFont val="Tahoma"/>
            <family val="2"/>
          </rPr>
          <t>Michael Schöggl:</t>
        </r>
        <r>
          <rPr>
            <sz val="9"/>
            <color indexed="81"/>
            <rFont val="Tahoma"/>
            <family val="2"/>
          </rPr>
          <t xml:space="preserve">
- User werden ab ca. 2022 die Möglichkeit haben, eigene Medien "zu verlegen". Es können sich Gruppen bilden, die gemeinsam einen Fernseh- oder Radiokanal "bespielen", es wird die Möglichkeit geben, themenspezifische Artikel zu schreiben, die dann in virtuellen Zeitungen veröffentlicht werden, etc. 
- Wir überlasses es komplett dem freien Markt, welche neuen Medien mit welchen Inhalten oder Mitarbeitern und welchen Regeln (unentgeltlich, bezahlt, etc.) entstehen. Wir werden einen Baukasten anbieten, damit alle Einstellungen möglich sind - von Bezahlung pro Artikel bis hin zu Systemen, bei denen jeder Medienmitarbeiter abhängig von der Reichweite, Beliebtheit oder Bewertung seiner Beiträge einen Anteil der Werbeeinnahmen erhält.
- Nicht nur, aber vor allem in Video-Medien (Fernsehsender, Videoblog, etc.) werden unsere User bei Interesse Werbung schalten können und damit Geld verdienen können (vgl. YouTube, nur nicht als One-Man-Show, sondern als freies Unternehmen mit automatisierten Regeln). 
- Wir würden einen Anteil der Werbeeinnahmen in Höhe von ca. 30% verlangen. Eventuell sogar deutlich mehr, wie bei YouTube, wo keine/wenig Transparenz herrscht, aber die YouTuber bestimmt deutlich weniger als 70% erhalten. 
- Vergleiche mit YouTube und Co zeigen, dass wir bei starkem Interesse an diesen "frei gewachsenen Medien" auch rund 0,3 bis 2 Euro pro User und Monat einnehmen könnten, aber dieses Geschäftsmodell ist zu weit von der Realisierung entfernt, um in der realistischen Prognose Einnahmen zu erwarten.</t>
        </r>
      </text>
    </comment>
    <comment ref="B28" authorId="0">
      <text>
        <r>
          <rPr>
            <b/>
            <sz val="9"/>
            <color indexed="81"/>
            <rFont val="Tahoma"/>
            <family val="2"/>
          </rPr>
          <t>Michael Schöggl:</t>
        </r>
        <r>
          <rPr>
            <sz val="9"/>
            <color indexed="81"/>
            <rFont val="Tahoma"/>
            <family val="2"/>
          </rPr>
          <t xml:space="preserve">
</t>
        </r>
        <r>
          <rPr>
            <b/>
            <sz val="9"/>
            <color indexed="81"/>
            <rFont val="Tahoma"/>
            <family val="2"/>
          </rPr>
          <t xml:space="preserve">
Wieviel € pro User nehmen wir im Monat durch einen Anteil der Werbeeinnahmen der usergenerierten Medien ein?</t>
        </r>
        <r>
          <rPr>
            <sz val="9"/>
            <color indexed="81"/>
            <rFont val="Tahoma"/>
            <family val="2"/>
          </rPr>
          <t xml:space="preserve">
</t>
        </r>
        <r>
          <rPr>
            <u/>
            <sz val="9"/>
            <color indexed="81"/>
            <rFont val="Tahoma"/>
            <family val="2"/>
          </rPr>
          <t>Begründung für diesen Wert</t>
        </r>
        <r>
          <rPr>
            <sz val="9"/>
            <color indexed="81"/>
            <rFont val="Tahoma"/>
            <family val="2"/>
          </rPr>
          <t>:
- Dieses Geschäftsmodell (vergleichbar mit YouTube bzw. Twitch, nur erweitert auf Audio, Print, Internet, VR und erweitert um ganze Unternehmenstrukturen statt Einzel-Accounts) ist noch zu weit von der Realisierung entfernt (ab 2022), daher gehen wir aktuell von 0 Einnahmen aus.</t>
        </r>
      </text>
    </comment>
    <comment ref="C28" authorId="0">
      <text>
        <r>
          <rPr>
            <b/>
            <sz val="9"/>
            <color indexed="81"/>
            <rFont val="Tahoma"/>
            <family val="2"/>
          </rPr>
          <t>Michael Schöggl:</t>
        </r>
        <r>
          <rPr>
            <sz val="9"/>
            <color indexed="81"/>
            <rFont val="Tahoma"/>
            <family val="2"/>
          </rPr>
          <t xml:space="preserve">
</t>
        </r>
        <r>
          <rPr>
            <b/>
            <sz val="9"/>
            <color indexed="81"/>
            <rFont val="Tahoma"/>
            <family val="2"/>
          </rPr>
          <t>Um wieviel € pro Quartal wird sich der Anteil an den monatlichen Werbeeinnahmen durch usergenerierte Medien erhöhen?</t>
        </r>
        <r>
          <rPr>
            <sz val="9"/>
            <color indexed="81"/>
            <rFont val="Tahoma"/>
            <family val="2"/>
          </rPr>
          <t xml:space="preserve">
</t>
        </r>
        <r>
          <rPr>
            <u/>
            <sz val="9"/>
            <color indexed="81"/>
            <rFont val="Tahoma"/>
            <family val="2"/>
          </rPr>
          <t>Begründung für diesen Wert</t>
        </r>
        <r>
          <rPr>
            <sz val="9"/>
            <color indexed="81"/>
            <rFont val="Tahoma"/>
            <family val="2"/>
          </rPr>
          <t>:
- Dieses Geschäftsmodell (vergleichbar mit YouTube bzw. Twitch, nur erweitert auf Audio, Print, Internet, VR und erweitert um ganze Unternehmenstrukturen statt Einzel-Accounts) ist noch zu weit von der Realisierung entfernt (ab 2022), daher gehen wir aktuell von 0 Einnahmen aus.</t>
        </r>
      </text>
    </comment>
    <comment ref="A29" authorId="0">
      <text>
        <r>
          <rPr>
            <b/>
            <sz val="9"/>
            <color indexed="81"/>
            <rFont val="Tahoma"/>
            <family val="2"/>
          </rPr>
          <t>Michael Schöggl:</t>
        </r>
        <r>
          <rPr>
            <sz val="9"/>
            <color indexed="81"/>
            <rFont val="Tahoma"/>
            <family val="2"/>
          </rPr>
          <t xml:space="preserve">
- Wir haben die Möglichkeit, z.B. Product Placement Partnern anzubieten, dass diese für eine einmalige Pauschale für einen gewissen Zeitraum oder eine konkret festgelegte Werbeleistung ihre Product Placement Werbung kostenlos erhalten. 
- Für die Unternehmen würde sich das eventuell lohnen, weil sie so - durch ihren Vertrauensvorschuss in unsere Leistung - ein deutlich günstigeres, besseres Angebot erhalten könnten, als andere Partner. 
- Für uns würden diese höheren Einnahmen die Basis für mehr Werbekapital und dadurch mehr Wachstum bieten und sich insofern auch lohnen, auch wenn wir langfristig rein durch die Product Placement Gebühr weniger einnehmen sollten. Sobald wir genügend User haben, dass das Vertrauen in unsere Plattform vorhanden ist, wäre dieser Zugang eine gute Lösung um schnell Einnahmen zu generieren, wenn dies aus irgendwelchen Gründen Sinn macht bzw. wir schnell Kapital benötigen. 
- Diese Zeile gilt auch für Einnahmen durch einmalige Werbeaktionen (z.B. Flyer am virtuellen Schreibtisch, Spiderman schwingt durch die virtuelle Stadt und klatscht gegen das Fenster, Trailer von Filmen am virtuellen Fernseher anzeigen, etc.).
- Wir haben hier keinen Wert eingesetzt, beim Eintragen eines Wertes bitte beachten, dass dieser ausnahmsweise für das gesamte Quartal und nicht für jeden Monat gilt. </t>
        </r>
      </text>
    </comment>
    <comment ref="B29" authorId="0">
      <text>
        <r>
          <rPr>
            <b/>
            <sz val="9"/>
            <color indexed="81"/>
            <rFont val="Tahoma"/>
            <family val="2"/>
          </rPr>
          <t xml:space="preserve">Michael Schöggl:
</t>
        </r>
        <r>
          <rPr>
            <sz val="9"/>
            <color indexed="81"/>
            <rFont val="Tahoma"/>
            <family val="2"/>
          </rPr>
          <t xml:space="preserve">
Bitte die einmaligen Einnahmen durch Partner nur jeweils in der entsprechenden Spalte für die Schätzwerte des jeweiligen Quartals eintragen. Der eingetragene Wert gilt dann für das gesamte Quartal und nicht monatlich.</t>
        </r>
      </text>
    </comment>
    <comment ref="D29" authorId="0">
      <text>
        <r>
          <rPr>
            <b/>
            <sz val="9"/>
            <color indexed="81"/>
            <rFont val="Tahoma"/>
            <family val="2"/>
          </rPr>
          <t xml:space="preserve">Michael Schöggl:
</t>
        </r>
        <r>
          <rPr>
            <sz val="9"/>
            <color indexed="81"/>
            <rFont val="Tahoma"/>
            <family val="2"/>
          </rPr>
          <t xml:space="preserve">
Bitte die einmaligen Einnahmen durch Partner nur jeweils in der entsprechenden Spalte für die Schätzwerte des jeweiligen Quartals eintragen. Der eingetragene Wert gilt dann für das gesamte Quartal und nicht monatlich.</t>
        </r>
      </text>
    </comment>
    <comment ref="A30" authorId="0">
      <text>
        <r>
          <rPr>
            <b/>
            <sz val="9"/>
            <color indexed="81"/>
            <rFont val="Tahoma"/>
            <family val="2"/>
          </rPr>
          <t>Michael Schöggl:</t>
        </r>
        <r>
          <rPr>
            <sz val="9"/>
            <color indexed="81"/>
            <rFont val="Tahoma"/>
            <family val="2"/>
          </rPr>
          <t xml:space="preserve">
Achtung: Bei den Schätzwerten wurden hier die Summen der jeweiligen </t>
        </r>
        <r>
          <rPr>
            <u/>
            <sz val="9"/>
            <color indexed="81"/>
            <rFont val="Tahoma"/>
            <family val="2"/>
          </rPr>
          <t>Quartale</t>
        </r>
        <r>
          <rPr>
            <sz val="9"/>
            <color indexed="81"/>
            <rFont val="Tahoma"/>
            <family val="2"/>
          </rPr>
          <t xml:space="preserve"> angegeben, auch wenn in den Zeilen darüber die Werte pro Monat stehen!
Allgemein gilt: Die Summenwerte mit dunklerem Hintergrund beziehen sich auf die Quartale, die Werte auf hellerem Hintergrund auf die Monate.</t>
        </r>
      </text>
    </comment>
    <comment ref="A32" authorId="0">
      <text>
        <r>
          <rPr>
            <b/>
            <sz val="9"/>
            <color indexed="81"/>
            <rFont val="Tahoma"/>
            <family val="2"/>
          </rPr>
          <t>Michael Schöggl:</t>
        </r>
        <r>
          <rPr>
            <sz val="9"/>
            <color indexed="81"/>
            <rFont val="Tahoma"/>
            <family val="2"/>
          </rPr>
          <t xml:space="preserve">
- Die Schätzung der Kosten ist in manchen Bereichen vermutlich deutlich zu hoch, aber das soll uns einen Sicherheitsspielraum in der Prognose gegeben und nicht so missverstanden werden, dass wir nicht sparsam wirtschaften wollen. 
- Je nach Erfolg (primär gemessen durch die Unterschiede zwischen Realität und Prognose) werden wir bei einer schlechten Entwicklung bei den Ausgaben größere Einsparungen vornehmen, schließlich haben wir beinahe nur Personalkosten, bzw. allgemein sehr flexible Kosten, die mit dem Personal zusammenhängen. 
- Im Worst Case Szenario könnten wir mit weniger als 10.000 € pro Monat "überleben" und die Zeit mit der eigenen, kaum bezahlten Arbeit ausharren, bis unsere Userzahlen und damit auch die Einnahmen entsprechend ansteigen. Wirklich notwendig sind nur die Kosten für einen Software-Entwickler, die Server-Kosten (rund 300 € pro Monat) und die Lebenserhaltungskosten für den Geschäftsführer.
- Im positiven Fall hingegen könnten wir die Ausgaben so stark durch neue Personalkosten anheben, dass wir knapp keine Gewinne machen, damit Steuern sparen und unseren Konkurrenzvorsprung noch stärker ausbauen. Wenn sich abzeichnet, dass jeder neue User deutlich mehr Geld einbringt, als er kostet, wird es vermutlich Sinn machen, auf frühe Gewinne zu verzichten, um weitere Geschäftsmodelle früher aufzubauen, den Markt zu erobern und den Abstand zur Konkurrenz zu vergrößern. Mit mehr Ausgaben können auch mehr In-App-Inhalte geschaffen, oder durch (mehr) Sales-Mitarbeiter mehr Partner oder Medien akquiriert werden, was sehr rasch deutlich mehr bringen würde, als es gekostet hat. 
- Daher - sowohl was positive, als auch negative Entwicklungen betrifft - sind die Ausgaben pro Monat nur als grober Richtwert zu verstehen. Eine Umsatzprognose soll nur eine Hilfestellung sein, aber nicht davon abhalten, je nach Bedarf und Entwicklung flexibel auf die Situation eingehen zu können, um die bestmöglichen Ergebnisse zu erzielen. Durch die einfache Anpassbarkeit der Werte in diesem Spritesheet lassen sich sehr einfach verschiedene Szenarien durchspielen, sobald wir mehr konkrete, reale Werte gemessen haben. Gerade auch was Werbeausgaben betrifft (siehe 3.13 und 3.14) hängt die beste Strategie eindeutig davon ab, wie viel uns jeder neue User kostet (3.12) und wieviel Einnahmen wir mit ihm generieren. Ein schneller Start kann von unvergleichlicher Bedeutung für den Erfolg des Unternehmens sein.</t>
        </r>
      </text>
    </comment>
    <comment ref="A33" authorId="0">
      <text>
        <r>
          <rPr>
            <b/>
            <sz val="9"/>
            <color indexed="81"/>
            <rFont val="Tahoma"/>
            <family val="2"/>
          </rPr>
          <t xml:space="preserve">Michael Schöggl:
</t>
        </r>
        <r>
          <rPr>
            <sz val="9"/>
            <color indexed="81"/>
            <rFont val="Tahoma"/>
            <family val="2"/>
          </rPr>
          <t xml:space="preserve">
- Die Anlageinvestitionen (Büroeinrichtung, EDV, etc.) wurden mit 4%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3" authorId="0">
      <text>
        <r>
          <rPr>
            <b/>
            <sz val="9"/>
            <color indexed="81"/>
            <rFont val="Tahoma"/>
            <family val="2"/>
          </rPr>
          <t xml:space="preserve">Michael Schöggl:
</t>
        </r>
        <r>
          <rPr>
            <sz val="9"/>
            <color indexed="81"/>
            <rFont val="Tahoma"/>
            <family val="2"/>
          </rPr>
          <t xml:space="preserve">
</t>
        </r>
        <r>
          <rPr>
            <b/>
            <sz val="9"/>
            <color indexed="81"/>
            <rFont val="Tahoma"/>
            <family val="2"/>
          </rPr>
          <t>Wie hoch sind die monatlichen Mindestkosten für Anlageinvestitionen?</t>
        </r>
        <r>
          <rPr>
            <sz val="9"/>
            <color indexed="81"/>
            <rFont val="Tahoma"/>
            <family val="2"/>
          </rPr>
          <t xml:space="preserve">
</t>
        </r>
        <r>
          <rPr>
            <u/>
            <sz val="9"/>
            <color indexed="81"/>
            <rFont val="Tahoma"/>
            <family val="2"/>
          </rPr>
          <t>Begründung für diesen Wert</t>
        </r>
        <r>
          <rPr>
            <sz val="9"/>
            <color indexed="81"/>
            <rFont val="Tahoma"/>
            <family val="2"/>
          </rPr>
          <t>:
- Hier haben wir keinen Wert eingetragen, bisher haben sich 3-4% der Personalkosten sehr gut bewehrt. Die Kosten pro Mitarbeiter für einen Arbeitsplatz lagen bei günstigen 1500 €, diese Kosten würden zwar steigen, aber gleichzeitig auch die Gehälter, weshalb sich das wieder ausgleicht. 
Längerfristig wird es bei Erfolg natürlich Sinn machen, ein eigenes Büro zu bauen/kaufen, diese Kosten sind hier nicht berücksichtigt, u.a. auch, weil es dabei um Abschreibposten mit einem bleibenden Verkaufswert handeln würde, die am Ende auch nicht (viel) teurer kommen, als Miete. 
Die Kosten in den Spalten rechts sind monatlich, auf ein Jahr gerechnet werden sie realistisch.</t>
        </r>
      </text>
    </comment>
    <comment ref="C33" authorId="0">
      <text>
        <r>
          <rPr>
            <b/>
            <sz val="9"/>
            <color indexed="81"/>
            <rFont val="Tahoma"/>
            <family val="2"/>
          </rPr>
          <t>Michael Schöggl:</t>
        </r>
        <r>
          <rPr>
            <sz val="9"/>
            <color indexed="81"/>
            <rFont val="Tahoma"/>
            <family val="2"/>
          </rPr>
          <t xml:space="preserve">
</t>
        </r>
        <r>
          <rPr>
            <b/>
            <sz val="9"/>
            <color indexed="81"/>
            <rFont val="Tahoma"/>
            <family val="2"/>
          </rPr>
          <t>Wieviel Prozent der Personalkosten sind für Anlageinvestitionen geplant?</t>
        </r>
        <r>
          <rPr>
            <sz val="9"/>
            <color indexed="81"/>
            <rFont val="Tahoma"/>
            <family val="2"/>
          </rPr>
          <t xml:space="preserve">
</t>
        </r>
        <r>
          <rPr>
            <u/>
            <sz val="9"/>
            <color indexed="81"/>
            <rFont val="Tahoma"/>
            <family val="2"/>
          </rPr>
          <t>Begründung für diesen Wert</t>
        </r>
        <r>
          <rPr>
            <sz val="9"/>
            <color indexed="81"/>
            <rFont val="Tahoma"/>
            <family val="2"/>
          </rPr>
          <t>:
- Aufgrund bisherigen Erfahrungswerte gehen wir von rund 4 % der Personalkosten für Anlageinvestitionen aus (ca. 1500 € bisher pro Arbeitsplatz für Möbel, PC, Monitor, etc.).
- Wenn connect erfolgreich genug ist, wird es irgendwann Sinn machen, ein eigenes Büro zu kaufen oder zu bauen. Aber dann müssten die entsprechenden Werte händisch rechts eingetragen werden, sofern sie nicht als Abschreibung innerhalb der x % pro Personalkosten bleiben.</t>
        </r>
      </text>
    </comment>
    <comment ref="A34" authorId="0">
      <text>
        <r>
          <rPr>
            <b/>
            <sz val="9"/>
            <color indexed="81"/>
            <rFont val="Tahoma"/>
            <family val="2"/>
          </rPr>
          <t>Michael Schöggl:</t>
        </r>
        <r>
          <rPr>
            <sz val="9"/>
            <color indexed="81"/>
            <rFont val="Tahoma"/>
            <family val="2"/>
          </rPr>
          <t xml:space="preserve">
Die Personal- und Outsourcingkosten sind absolut flexibel. Wir könnten auch mit einem Team aus 1,5 Mitarbeitern (1 Senior Developer und 1 Teilzeit-Grafiker) unsere App instandhalten und langsam weiterentwickeln (Kosten: ca. 8.000 € monatlich).
Natürlich macht es aber Sinn, bei positiver wirtschaftlicher Entwicklung das Tempo voranzutreiben, vor allem, wenn jeder neue Mitarbeiter mehr Geld einbringt, als er an Kosten verursacht (z.B. Sales-Mitarbeiter, die lukrative B2B-Partner gewinnen). 
Die hier veranschlagten Personal- und Outsourcing-Kosten richten sich im 1. und 2. Quartal 2020 daran, dass sich connect wie geplant bis Mitte 2020 fertigstellen lässt (rund 30.000 € pro Monat). 
Ab Quartal 3 2020 könnten die Personal- und Outsourcingkosten (bei Bedarf) wieder reduziert werden, bei positiver Entwicklung jedoch würden wir sie konstant um x Prozent der Einnahmen anheben, um unseren Wettbewerbsvorteil zu verteidigen und connect rasch zu verbessern.
Mehr Einnahmen bedeuten in unserem Fall zudem mehr User bzw. B2B-Partner und insofern auch höhere Personal-Kosten für z.B. Support oder Sales. Wir wollen zwar möglichst alle Prozesse automatisieren, aber es macht natürlich Sinn, trotzdem mehr Geld in die Entwicklung zu stecken, wenn der wirtschaftliche Erfolg erkennbar wird. Darum wurden in der Prognose die Personalkosten ab 2021 auch direkt von den Einnahmen abhängig gemacht.</t>
        </r>
      </text>
    </comment>
    <comment ref="B34" authorId="0">
      <text>
        <r>
          <rPr>
            <b/>
            <sz val="9"/>
            <color indexed="81"/>
            <rFont val="Tahoma"/>
            <family val="2"/>
          </rPr>
          <t>Michael Schöggl:</t>
        </r>
        <r>
          <rPr>
            <sz val="9"/>
            <color indexed="81"/>
            <rFont val="Tahoma"/>
            <family val="2"/>
          </rPr>
          <t xml:space="preserve">
</t>
        </r>
        <r>
          <rPr>
            <b/>
            <sz val="9"/>
            <color indexed="81"/>
            <rFont val="Tahoma"/>
            <family val="2"/>
          </rPr>
          <t xml:space="preserve">Um wieviel Prozent der Einnahmen steigen die Personalkosten gegenüber dem Vormonat? 
</t>
        </r>
        <r>
          <rPr>
            <u/>
            <sz val="9"/>
            <color indexed="81"/>
            <rFont val="Tahoma"/>
            <family val="2"/>
          </rPr>
          <t>Begründung für diesen Wert</t>
        </r>
        <r>
          <rPr>
            <sz val="9"/>
            <color indexed="81"/>
            <rFont val="Tahoma"/>
            <family val="2"/>
          </rPr>
          <t>:
- connect könnte mit gleichbleibenden 20.000 € pro Monat an Personalkosten (oder sogar weniger) weiterentwickelt werden. Wir sind bezüglich Personalkosten äußerst flexibel. Selbst sehr erfolgreiche Apps wie WhatsApp hatten jahrelang nur eine Handvoll Mitarbeiter.
- Weil wir aber im Gegensatz zu z.B. WhatsApp sehr schnell Einnahmen haben werden, unseren Wettbewerbsvorteil verteidigen müssen und connect kontinuierlich weiterentwickeln wollen, rechnen wir mit 10% aller Einnahmen an zusätzlichen Personalkosten. Dieser Werte kann beliebig angepasst werden, je nachdem, wie rasch wir connect weiterentwickeln wollen. Zur Leistung unserer Angestellten kommen noch die Leistungen unserer Outsourcing-Partner (siehe 3.11) dazu. 
- Die Berechnung der Personalkosten prozentual zu den Einnahmen erlaubt uns finanzielle Entscheidungen ohne großes Risiko. 
- Auch die Werbekosten und die Outsourcing-Kosten werden prozentual gerechnet, ebenso indirekt Anlageinvestitionen, Material und Betriebsausgaben. Die prozentualen Ausgaben sollen dauerhaft unter den Einnahmen bleiben. Bei den Einnahmen erwarten wir (bis auf übliche jahreszeitabhängige Schwankungen) wenig Fluktuationen bzw. Überraschungen, weil sich durch die Masse der User Zufallseffekte weitestgehend "raus-mitteln". Übrig bleiben primär systematische Fehler, wenn wir es z.B. verabsäumen, neue, attraktive In-App-Käufe nachzuliefern und diese Wahrnehmung von den meisten Usern gleichermaßen geteilt wird.</t>
        </r>
      </text>
    </comment>
    <comment ref="C34" authorId="0">
      <text>
        <r>
          <rPr>
            <b/>
            <sz val="9"/>
            <color indexed="81"/>
            <rFont val="Tahoma"/>
            <family val="2"/>
          </rPr>
          <t>Michael Schöggl:</t>
        </r>
        <r>
          <rPr>
            <sz val="9"/>
            <color indexed="81"/>
            <rFont val="Tahoma"/>
            <family val="2"/>
          </rPr>
          <t xml:space="preserve">
</t>
        </r>
        <r>
          <rPr>
            <b/>
            <sz val="9"/>
            <color indexed="81"/>
            <rFont val="Tahoma"/>
            <family val="2"/>
          </rPr>
          <t xml:space="preserve">Um wieviel Prozent pro Quartal werden die prozentualen Personalsausgaben reduziert? </t>
        </r>
        <r>
          <rPr>
            <sz val="9"/>
            <color indexed="81"/>
            <rFont val="Tahoma"/>
            <family val="2"/>
          </rPr>
          <t xml:space="preserve">
</t>
        </r>
        <r>
          <rPr>
            <u/>
            <sz val="9"/>
            <color indexed="81"/>
            <rFont val="Tahoma"/>
            <family val="2"/>
          </rPr>
          <t>Begründung für diesen Wert</t>
        </r>
        <r>
          <rPr>
            <sz val="9"/>
            <color indexed="81"/>
            <rFont val="Tahoma"/>
            <family val="2"/>
          </rPr>
          <t>:
- Wenn sich connect gut entwickelt, ist es unrealistisch, dass unsere Personalausgaben dauerhaft an x % der Einnahmen angepasst werden. Unsere Ausnahmen müssen/sollen nicht direkt proportional zu den Einnahmen mitsteigen, weil die Entwicklungskosten nicht automatisch höher werden, nur, weil mehr User unsere Entwicklung verwenden. 
- Im Gegensatz zu Facebook und Co wollen wir beim Personal eher klein bleiben und a.) möglichst viel automatisieren, b.) Funktionen, die hohe Kosten durch z.B. Support benötigen, gar nicht erst anbieten, sondern diese c.) unseren Partnern überlassen. 
- Neue Inhalte sollen langfristig primär von unseren Partnern kommen, während wir mit Provision daran mitverdienen. Wir kümmern uns vorrangig um die "Schnittstelle", bzw. die Basisfunktionen, die weniger kosteneffizienten Entwicklungen (wie z.B. aufwendige Inhalte, die nur einmal schnell "durchgespielt" werden), überlassen wir unseren Partnern. 
- Je besser unser Netzwerk ist (Fokus liegt darauf!), umso mehr Partner-Inhalte bekommen wir - und wenn wir das gut machen, besser, als die Konkurrenz, dann wachsen unsere Inhalte durch Partner schneller, als wenn wir sie selbst entwickeln würden. 
- Dieser Zugang ist kostensparend, darum ist davon auszugehen, dass die prozentualen Ausgaben von unseren Einnahmen für das Personal im Laufe der Quartale um den Faktor x sinken werden. Der Großteil des Personals wird wohl aus Evangelisten, Sales- und Service-Mitarbeitern bestehen, aber auch hier wollen wir durch ChatBots, KI, etc. so viel wie möglich automatisieren.</t>
        </r>
      </text>
    </comment>
    <comment ref="A35" authorId="0">
      <text>
        <r>
          <rPr>
            <b/>
            <sz val="9"/>
            <color indexed="81"/>
            <rFont val="Tahoma"/>
            <family val="2"/>
          </rPr>
          <t xml:space="preserve">Michael Schöggl:
</t>
        </r>
        <r>
          <rPr>
            <sz val="9"/>
            <color indexed="81"/>
            <rFont val="Tahoma"/>
            <family val="2"/>
          </rPr>
          <t xml:space="preserve">
- Die Kosten für Material und Waren (z.B. Druckerpapier, Instandhaltung, Büroartikel, etc.) wurden mit 1%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5" authorId="0">
      <text>
        <r>
          <rPr>
            <b/>
            <sz val="9"/>
            <color indexed="81"/>
            <rFont val="Tahoma"/>
            <family val="2"/>
          </rPr>
          <t>Michael Schöggl:</t>
        </r>
        <r>
          <rPr>
            <sz val="9"/>
            <color indexed="81"/>
            <rFont val="Tahoma"/>
            <family val="2"/>
          </rPr>
          <t xml:space="preserve">
</t>
        </r>
        <r>
          <rPr>
            <b/>
            <sz val="9"/>
            <color indexed="81"/>
            <rFont val="Tahoma"/>
            <family val="2"/>
          </rPr>
          <t xml:space="preserve">
Wieviel € pro Monat haben wir an Fixkosten für Material und Waren, unabhängig von der Größe des Teams?</t>
        </r>
        <r>
          <rPr>
            <sz val="9"/>
            <color indexed="81"/>
            <rFont val="Tahoma"/>
            <family val="2"/>
          </rPr>
          <t xml:space="preserve">
</t>
        </r>
        <r>
          <rPr>
            <u/>
            <sz val="9"/>
            <color indexed="81"/>
            <rFont val="Tahoma"/>
            <family val="2"/>
          </rPr>
          <t xml:space="preserve">
Begründung für diesen Wert</t>
        </r>
        <r>
          <rPr>
            <sz val="9"/>
            <color indexed="81"/>
            <rFont val="Tahoma"/>
            <family val="2"/>
          </rPr>
          <t>:
- Wir berechnen die Kosten für Material und Waren (z.B. Bürobedarf) nur relativ zum Personal, da dies einfacher ist und es keine (relevanten) Fixkosten gibt. Allgemein sind diese Werte alle viel zu niedrig, alsdass sich eine nähere Betrachtung lohnen würde.</t>
        </r>
      </text>
    </comment>
    <comment ref="C35" authorId="0">
      <text>
        <r>
          <rPr>
            <b/>
            <sz val="9"/>
            <color indexed="81"/>
            <rFont val="Tahoma"/>
            <family val="2"/>
          </rPr>
          <t>Michael Schöggl:</t>
        </r>
        <r>
          <rPr>
            <sz val="9"/>
            <color indexed="81"/>
            <rFont val="Tahoma"/>
            <family val="2"/>
          </rPr>
          <t xml:space="preserve">
</t>
        </r>
        <r>
          <rPr>
            <b/>
            <sz val="9"/>
            <color indexed="81"/>
            <rFont val="Tahoma"/>
            <family val="2"/>
          </rPr>
          <t>Wieviel Prozent der Personalkosten werden pro Monat für Material und Waren benötigt?</t>
        </r>
        <r>
          <rPr>
            <sz val="9"/>
            <color indexed="81"/>
            <rFont val="Tahoma"/>
            <family val="2"/>
          </rPr>
          <t xml:space="preserve">
</t>
        </r>
        <r>
          <rPr>
            <u/>
            <sz val="9"/>
            <color indexed="81"/>
            <rFont val="Tahoma"/>
            <family val="2"/>
          </rPr>
          <t>Begründung für diesen Wert</t>
        </r>
        <r>
          <rPr>
            <sz val="9"/>
            <color indexed="81"/>
            <rFont val="Tahoma"/>
            <family val="2"/>
          </rPr>
          <t>:
Aufgrund bisherigen Erfahrungswerte gehen wir von rund 1 % der Personalkosten für Büromaterial und kleinere Ausgaben (z.B. Papier, Post, Reinigungsmittel, etc.) aus.</t>
        </r>
      </text>
    </comment>
    <comment ref="A36" authorId="0">
      <text>
        <r>
          <rPr>
            <b/>
            <sz val="9"/>
            <color indexed="81"/>
            <rFont val="Tahoma"/>
            <family val="2"/>
          </rPr>
          <t xml:space="preserve">Michael Schöggl:
</t>
        </r>
        <r>
          <rPr>
            <sz val="9"/>
            <color indexed="81"/>
            <rFont val="Tahoma"/>
            <family val="2"/>
          </rPr>
          <t xml:space="preserve">
- Die Betriebsausgaben (Miete, Strom, Internet, etc.) wurden mit 6%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6" authorId="0">
      <text>
        <r>
          <rPr>
            <b/>
            <sz val="9"/>
            <color indexed="81"/>
            <rFont val="Tahoma"/>
            <family val="2"/>
          </rPr>
          <t>Michael Schöggl:</t>
        </r>
        <r>
          <rPr>
            <sz val="9"/>
            <color indexed="81"/>
            <rFont val="Tahoma"/>
            <family val="2"/>
          </rPr>
          <t xml:space="preserve">
</t>
        </r>
        <r>
          <rPr>
            <b/>
            <sz val="9"/>
            <color indexed="81"/>
            <rFont val="Tahoma"/>
            <family val="2"/>
          </rPr>
          <t>Wieviel € pro Monat haben wir an Fixkosten für Betriebsausgaben, unabhängig von der Größe des Teams?</t>
        </r>
        <r>
          <rPr>
            <sz val="9"/>
            <color indexed="81"/>
            <rFont val="Tahoma"/>
            <family val="2"/>
          </rPr>
          <t xml:space="preserve">
</t>
        </r>
        <r>
          <rPr>
            <u/>
            <sz val="9"/>
            <color indexed="81"/>
            <rFont val="Tahoma"/>
            <family val="2"/>
          </rPr>
          <t>Begründung für diesen Wert</t>
        </r>
        <r>
          <rPr>
            <sz val="9"/>
            <color indexed="81"/>
            <rFont val="Tahoma"/>
            <family val="2"/>
          </rPr>
          <t xml:space="preserve">:
- Im Moment haben wir aufgerundet ca. 1500 € an Betriebskosten, die wir nicht sofort reduzieren können, sondern erst nach Kündigung (z.B. für Miete, Strom, Internet, Lizenzen und ähnliches). Diese Fixkosten würden sich auch nihilieren lassen, aber es würde bis zu 3 Monate dauern. </t>
        </r>
      </text>
    </comment>
    <comment ref="C36" authorId="0">
      <text>
        <r>
          <rPr>
            <b/>
            <sz val="9"/>
            <color indexed="81"/>
            <rFont val="Tahoma"/>
            <family val="2"/>
          </rPr>
          <t xml:space="preserve">Michael Schöggl:
Wieviel Prozent der Personalkosten werden pro Monat für Betriebsausgaben benötigt?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Aufgrund bisherigen Erfahrungswerte gehen wir von rund 6% der Personalkosten für Betriebsausgaben wie z.B. Miete, Strom, Internet, Lizenzen etc. aus.
- So wie die meisten anderen Kosten ist dieser Wert tendenziell zu hoch eingeschätzt, um bei der Prognose genügend Platz für unbedachte Kosten offen zu halten. 4% wären im sparsamen Fall ebenso realistisch möglich (z.B. Team aus 10 Leuten mit 50.000 € monatlichen Personalkosten in einem Büro zu 1000 € mit 1000 € an weiteren Betriebskosten für Strom, Internet, etc. = 4%).</t>
        </r>
      </text>
    </comment>
    <comment ref="A37" authorId="0">
      <text>
        <r>
          <rPr>
            <b/>
            <sz val="9"/>
            <color indexed="81"/>
            <rFont val="Tahoma"/>
            <family val="2"/>
          </rPr>
          <t>Michael Schöggl:</t>
        </r>
        <r>
          <rPr>
            <sz val="9"/>
            <color indexed="81"/>
            <rFont val="Tahoma"/>
            <family val="2"/>
          </rPr>
          <t xml:space="preserve">
- Für In-App-Einkäufe über den Google Play Store und ab Mitte 2020 auch über den App Store (Apple) fallen Transaktionsgebühren an.
- Diese Gebühren beinhalten bereits alle Nebenkosten, die durch Bankspesen, Zahlungsverkehr etc. entstehen. 
- Zu Beginn macht es Sinn, Einkäufe über den App-Store abzuwickeln, selbst wenn die Gebühren höher sind, als ein eigener Zugang (z.B. der Kauf von Punkten auf der Homepage, die dann in der App eingelöst werden können). 
- Warum? Weil deutlich mehr Menschen einkaufen werden, wenn der Einkauf ganz einfach und gewohnt über den App-Store abgewickelt wird, wo die Bezahlmethode bereits hinterlegt ist, als über unsere eigene Lösung. Eine höhere Zahlbereitschaft wird wichtiger sein, als das Sparen von Gebühren. 
- Zudem unterstützen die App-Stores eine Vielzahl verschiedener Zahlmöglichkeiten, diese alle mit z.B. Wirecard einzurichten, würde bei einer zunächst kleinen Summe an Transaktionen mehr kosten, als bringen. Die Kosten pro Transaktion nehmen erst ab einer großen Anzahl an monatlichen Einkäufen so stark ab, dass es sich lohnen könnte, ein eigenes Bezahlsystem anzubieten. 
- Langfristig haben wir aber natürlich genau das vor, weil wir uns sehr viele Kosten sparen könnten, wenn unsere Kosten pro Transaktion von 30% auf z.B. 15% fallen. Mehr dazu in den Kommentaren rechts.</t>
        </r>
      </text>
    </comment>
    <comment ref="B37" authorId="0">
      <text>
        <r>
          <rPr>
            <b/>
            <sz val="9"/>
            <color indexed="81"/>
            <rFont val="Tahoma"/>
            <family val="2"/>
          </rPr>
          <t xml:space="preserve">Michael Schöggl:
Wieviel Prozent sämtlicher Einnahmen über den App Store fallen an Gebühren an?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Transaktionsgebühren für In-App-Verkäufe im Google Play Store (30%). Die Gebühren für abgeschlossene Abos betragen 15%. Andere Stores wie z.B. Apple, Steam oder PlayStation sind günstiger, aber wir rechnen hier sicherheitshalber mit den höchsten Werten (abzüglich einer optional einstellbaren Verbesserung pro Quartal in der Spalte rechts). </t>
        </r>
      </text>
    </comment>
    <comment ref="C37" authorId="0">
      <text>
        <r>
          <rPr>
            <b/>
            <sz val="9"/>
            <color indexed="81"/>
            <rFont val="Tahoma"/>
            <family val="2"/>
          </rPr>
          <t xml:space="preserve">Michael Schöggl:
</t>
        </r>
        <r>
          <rPr>
            <b/>
            <sz val="9"/>
            <color indexed="81"/>
            <rFont val="Tahoma"/>
            <family val="2"/>
          </rPr>
          <t xml:space="preserve">
Um wieviel Prozent pro Quartal lassen sich die Transaktionsgebühren senken?</t>
        </r>
        <r>
          <rPr>
            <sz val="9"/>
            <color indexed="81"/>
            <rFont val="Tahoma"/>
            <family val="2"/>
          </rPr>
          <t xml:space="preserve">
</t>
        </r>
        <r>
          <rPr>
            <u/>
            <sz val="9"/>
            <color indexed="81"/>
            <rFont val="Tahoma"/>
            <family val="2"/>
          </rPr>
          <t>Begründung für diesen Wert</t>
        </r>
        <r>
          <rPr>
            <sz val="9"/>
            <color indexed="81"/>
            <rFont val="Tahoma"/>
            <family val="2"/>
          </rPr>
          <t>:
Wir gehen davon aus, die Transaktionsgebühren im Laufe der nächsten 3 Jahre von maximal 30% (= alle Einkäufe werden über den Play Store getätigt) auf rund 16,5% senken zu können, da ...
1.) ... wir auch alternative Bezahlungsmöglichkeiten anbieten wollen, z.B. über den Erwerb von Punkten auf unserer Homepage, die uns deutlich günstiger kommen.
2.) ... der Play Store zu den teuersten Stores gehört, connect aber nicht nur für Android erscheint, sondern auch PlayStation, Steam etc.
3.) ... die Store-Preise allgemein etwas fallen werden.
4.) ... wir uns hier gewaltige Kosten sparen können und daher sehr motiviert sein werden, Alternativen anzubieten.</t>
        </r>
      </text>
    </comment>
    <comment ref="A38" authorId="0">
      <text>
        <r>
          <rPr>
            <b/>
            <sz val="9"/>
            <color indexed="81"/>
            <rFont val="Tahoma"/>
            <family val="2"/>
          </rPr>
          <t>Michael Schöggl:</t>
        </r>
        <r>
          <rPr>
            <sz val="9"/>
            <color indexed="81"/>
            <rFont val="Tahoma"/>
            <family val="2"/>
          </rPr>
          <t xml:space="preserve">
Mit Ende 2019 betragen die Zinsen pro Monat ca. 3000 Euro, beim Beginn der Rückzahlung ist unsere Hausbank flexibel, wir rechnen aber ab Ende 2020 mit einer Laufzeit von 10 Jahren.
Auch wenn bei guter wirtschaftlicher Entwicklung der gesamte Kredit deutlich früher zurückgezahlt werden kann und wird, wird sicherheitshalber in dieser Prognose davon ausgegangen, dass die Rückzahlung im Verlauf von 10 Jahren erfolgt.</t>
        </r>
      </text>
    </comment>
    <comment ref="B38" authorId="0">
      <text>
        <r>
          <rPr>
            <b/>
            <sz val="9"/>
            <color indexed="81"/>
            <rFont val="Tahoma"/>
            <family val="2"/>
          </rPr>
          <t>Michael Schöggl:</t>
        </r>
        <r>
          <rPr>
            <sz val="9"/>
            <color indexed="81"/>
            <rFont val="Tahoma"/>
            <family val="2"/>
          </rPr>
          <t xml:space="preserve">
</t>
        </r>
        <r>
          <rPr>
            <b/>
            <sz val="9"/>
            <color indexed="81"/>
            <rFont val="Tahoma"/>
            <family val="2"/>
          </rPr>
          <t>Wieviel Zinsen bezahlen wir für laufende Kredite pro Monat?</t>
        </r>
        <r>
          <rPr>
            <sz val="9"/>
            <color indexed="81"/>
            <rFont val="Tahoma"/>
            <family val="2"/>
          </rPr>
          <t xml:space="preserve">
</t>
        </r>
        <r>
          <rPr>
            <u/>
            <sz val="9"/>
            <color indexed="81"/>
            <rFont val="Tahoma"/>
            <family val="2"/>
          </rPr>
          <t>Begründung für diesen Wert</t>
        </r>
        <r>
          <rPr>
            <sz val="9"/>
            <color indexed="81"/>
            <rFont val="Tahoma"/>
            <family val="2"/>
          </rPr>
          <t>:
- Erfahrungswerte: Die aktuellen Zinsen pro Monat betragen knapp 3000 €.</t>
        </r>
      </text>
    </comment>
    <comment ref="C38" authorId="0">
      <text>
        <r>
          <rPr>
            <b/>
            <sz val="9"/>
            <color indexed="81"/>
            <rFont val="Tahoma"/>
            <family val="2"/>
          </rPr>
          <t xml:space="preserve">Michael Schöggl:
Wieviel € pro Monat müssen für laufende Kredite ab 2021 zurückbezahlt werden?
</t>
        </r>
        <r>
          <rPr>
            <u/>
            <sz val="9"/>
            <color indexed="81"/>
            <rFont val="Tahoma"/>
            <family val="2"/>
          </rPr>
          <t>Begründung für diesen Wert</t>
        </r>
        <r>
          <rPr>
            <sz val="9"/>
            <color indexed="81"/>
            <rFont val="Tahoma"/>
            <family val="2"/>
          </rPr>
          <t>:
Über eine Laufzeit von 10 Jahren sollen ab 2021 die offenen Kredite (590.000 €) rückgezahlt werden.
Die erhaltenen Investitionen durch partiarische Darlehen werden über eine Gewinnbeteiligung ausgeschüttet, bis sie abbezahlt sind.</t>
        </r>
      </text>
    </comment>
    <comment ref="A39" authorId="0">
      <text>
        <r>
          <rPr>
            <b/>
            <sz val="9"/>
            <color indexed="81"/>
            <rFont val="Tahoma"/>
            <family val="2"/>
          </rPr>
          <t>Michael Schöggl:</t>
        </r>
        <r>
          <rPr>
            <sz val="9"/>
            <color indexed="81"/>
            <rFont val="Tahoma"/>
            <family val="2"/>
          </rPr>
          <t xml:space="preserve">
Alle Einnahmen wurden brutto mit Umsatzsteuer berechnet. D.h. die Einnahmenprognose ist um 20% vorsichtiger, als auf den ersten Blick angenommen, wenn Netto- statt Brutto-Beträge erwartet wurden.
Zwar besteht später die Möglichkeit, Steuervorteile zu nutzen (und der Steuersatz ist auch nicht in jedem Land so hoch, wie in Österreich), sicherheitshalber haben wir aber trotzdem mit 20% Umsatzsteuer auf alle Einnahmen gerechnet.</t>
        </r>
      </text>
    </comment>
    <comment ref="B39" authorId="0">
      <text>
        <r>
          <rPr>
            <b/>
            <sz val="9"/>
            <color indexed="81"/>
            <rFont val="Tahoma"/>
            <family val="2"/>
          </rPr>
          <t xml:space="preserve">Michael Schöggl:
Wieviel Prozent an Umsatzsteuer müssen für Einnahmen bezahlt werden?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Umsatzsteuer in Österreich, dieser Wert kann langfristig durch entsprechende Steuersparmaßnahmen deutlich reduziert werden.
- Die Umsatzsteuer in anderen Ländern ist in der Regel (deutlich) niedriger, aber unsere Prognose soll mit vorsichtigen Werten arbeiten.</t>
        </r>
      </text>
    </comment>
    <comment ref="C39"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Um wieviel Prozent pro Quartal sinkt die Umsatzsteuer durch steuersparende Maßnahmen?
</t>
        </r>
        <r>
          <rPr>
            <u/>
            <sz val="9"/>
            <color indexed="81"/>
            <rFont val="Tahoma"/>
            <family val="2"/>
          </rPr>
          <t>Begründung für diesen Wert</t>
        </r>
        <r>
          <rPr>
            <sz val="9"/>
            <color indexed="81"/>
            <rFont val="Tahoma"/>
            <family val="2"/>
          </rPr>
          <t xml:space="preserve">:
Wir nehmen hier 0 an, weil wir brave Steuerzahler sind, aber realistisch ist es nicht, dass wir dauerhaft 20% Umsatzsteuer zahlen würden, daher bei Bedarf hier bitte einen Minuswert eintragen - z.B. -1% (in 9 Schritten reduziert sich dann die Umsatzsteuer kontinuierlich von 20% auf 11%. 
</t>
        </r>
      </text>
    </comment>
    <comment ref="A40" authorId="0">
      <text>
        <r>
          <rPr>
            <b/>
            <sz val="9"/>
            <color indexed="81"/>
            <rFont val="Tahoma"/>
            <family val="2"/>
          </rPr>
          <t>Michael Schöggl:</t>
        </r>
        <r>
          <rPr>
            <sz val="9"/>
            <color indexed="81"/>
            <rFont val="Tahoma"/>
            <family val="2"/>
          </rPr>
          <t xml:space="preserve">
Der Gewinn wird so lange wie möglich reinvestiert, um keine Körperschaftsteuer (bzw. Einkommensteuer) zahlen zu müssen. 
Eigentlich rechnen bis Ende 2021 damit, die Einnahmen vollständig reinvestieren zu können und keine Gewinne zu machen. Bei der Prognose wurden aber einfach alle Gewinne mit 25% Körperschaftsteuer belegt.
Die Mindestkörperschaftssteuer beträgt bei einer GmbH rund 1750 € pro Jahr, kann aber später gegengerechnet werden, weshalb wir diesen Wert ignorieren (das ist kein Liquiditätsplan).
</t>
        </r>
      </text>
    </comment>
    <comment ref="B40" authorId="0">
      <text>
        <r>
          <rPr>
            <b/>
            <sz val="9"/>
            <color indexed="81"/>
            <rFont val="Tahoma"/>
            <family val="2"/>
          </rPr>
          <t>Michael Schöggl:
Wieviel Prozent des Gewinns müssen an Körperschaftsteuer abgezogen werden?</t>
        </r>
        <r>
          <rPr>
            <sz val="9"/>
            <color indexed="81"/>
            <rFont val="Tahoma"/>
            <family val="2"/>
          </rPr>
          <t xml:space="preserve">
</t>
        </r>
        <r>
          <rPr>
            <u/>
            <sz val="9"/>
            <color indexed="81"/>
            <rFont val="Tahoma"/>
            <family val="2"/>
          </rPr>
          <t>Begründung für diesen Wert</t>
        </r>
        <r>
          <rPr>
            <sz val="9"/>
            <color indexed="81"/>
            <rFont val="Tahoma"/>
            <family val="2"/>
          </rPr>
          <t>:
- Körperschaftsteuer in Österreich, dieser Wert kann langfristig durch entsprechende Steuersparmaßnahmen natürlich reduziert werden, zudem gibt es Beschlüsse der neuen Bundesregierung, die Körperschaftsteuer deutlich zu senken.
- Ebenso wie die Umsatzsteuer ist die Körperschaftsteuer in anderen Ländern auch niedriger, aber wir wollen vorsichtige Schätzwerte.</t>
        </r>
      </text>
    </comment>
    <comment ref="C40"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sinkt die Körperschaftsteuer durch steuersparende Maßnahmen?</t>
        </r>
        <r>
          <rPr>
            <sz val="9"/>
            <color indexed="81"/>
            <rFont val="Tahoma"/>
            <family val="2"/>
          </rPr>
          <t xml:space="preserve">
Wir nehmen hier 0 an, weil wir brave Steuerzahler sind, aber realistisch ist es nicht, dass wir dauerhaft 35 % Körperschaftsteuer zahlen würden (u.a. weil Gewinne reinvestiert werden, notfalls in andere Unternehmen oder Zukäufe), daher bei Bedarf hier bitte einen Minuswert eintragen - z.B. -1% (in 9 Schritten reduziert sich dann die Umsatzsteuer kontinuierlich von 20% auf 11%. </t>
        </r>
      </text>
    </comment>
    <comment ref="A41" authorId="0">
      <text>
        <r>
          <rPr>
            <b/>
            <sz val="9"/>
            <color indexed="81"/>
            <rFont val="Tahoma"/>
            <family val="2"/>
          </rPr>
          <t>Michael Schöggl:</t>
        </r>
        <r>
          <rPr>
            <sz val="9"/>
            <color indexed="81"/>
            <rFont val="Tahoma"/>
            <family val="2"/>
          </rPr>
          <t xml:space="preserve">
Meine geplanten Privatentnahmen (Abzug von der bereits geleisteten finanziellen Einbringung). Auch möglich wäre eine Anstellung zu eben diesen Kosten.</t>
        </r>
      </text>
    </comment>
    <comment ref="B41" authorId="0">
      <text>
        <r>
          <rPr>
            <b/>
            <sz val="9"/>
            <color indexed="81"/>
            <rFont val="Tahoma"/>
            <family val="2"/>
          </rPr>
          <t>Michael Schöggl:</t>
        </r>
        <r>
          <rPr>
            <sz val="9"/>
            <color indexed="81"/>
            <rFont val="Tahoma"/>
            <family val="2"/>
          </rPr>
          <t xml:space="preserve">
</t>
        </r>
        <r>
          <rPr>
            <b/>
            <sz val="9"/>
            <color indexed="81"/>
            <rFont val="Tahoma"/>
            <family val="2"/>
          </rPr>
          <t>Wieviel € pro Monat fallen an Kosten für das Geschäftsführergehalt oder die Privatentnahmen durch den Geschäftsführer an?</t>
        </r>
        <r>
          <rPr>
            <sz val="9"/>
            <color indexed="81"/>
            <rFont val="Tahoma"/>
            <family val="2"/>
          </rPr>
          <t xml:space="preserve">
</t>
        </r>
        <r>
          <rPr>
            <u/>
            <sz val="9"/>
            <color indexed="81"/>
            <rFont val="Tahoma"/>
            <family val="2"/>
          </rPr>
          <t xml:space="preserve">
Begründung für diesen Wert</t>
        </r>
        <r>
          <rPr>
            <sz val="9"/>
            <color indexed="81"/>
            <rFont val="Tahoma"/>
            <family val="2"/>
          </rPr>
          <t>:
- In der Praxis kann dieser Wert deutlich niedriger sein, da die Lebenserhaltungskosten nicht unbedingt 2.500 € pro Monat ausmachen, aber für eine vorsichtige Schätzung ist das ein guter Wert.</t>
        </r>
      </text>
    </comment>
    <comment ref="C41"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 pro Quartal steigt das Geschäftsführergehalt bzw. die Privatentnahme ab Erreichen der Gewinnzone?</t>
        </r>
        <r>
          <rPr>
            <sz val="9"/>
            <color indexed="81"/>
            <rFont val="Tahoma"/>
            <family val="2"/>
          </rPr>
          <t xml:space="preserve">
</t>
        </r>
        <r>
          <rPr>
            <u/>
            <sz val="9"/>
            <color indexed="81"/>
            <rFont val="Tahoma"/>
            <family val="2"/>
          </rPr>
          <t>Begründung für diesen Wert</t>
        </r>
        <r>
          <rPr>
            <sz val="9"/>
            <color indexed="81"/>
            <rFont val="Tahoma"/>
            <family val="2"/>
          </rPr>
          <t>:
- Es wäre unglaubwürdig, hier unabhängig vom Erfolg des Unternehmens von gleichbleibenden Kosten auszugehen. 
- Zudem wäre eine repräsentative Vertretung nach Außen hin mit 2500 € eingeschränkter möglich, als mit eine angebrachten Gehalt.</t>
        </r>
      </text>
    </comment>
    <comment ref="A42" authorId="0">
      <text>
        <r>
          <rPr>
            <b/>
            <sz val="9"/>
            <color indexed="81"/>
            <rFont val="Tahoma"/>
            <family val="2"/>
          </rPr>
          <t xml:space="preserve">Michael Schöggl:
</t>
        </r>
        <r>
          <rPr>
            <sz val="9"/>
            <color indexed="81"/>
            <rFont val="Tahoma"/>
            <family val="2"/>
          </rPr>
          <t xml:space="preserve">
Nach unseren Basis-Kosten für Lizenzen etc. wurden ab 2021 weiter 0,01 Cent pro User veranschlagt, um u.a. die steigenden Serverkosten abzubilden. Jeder Server, der pro Monat rund 300 Euro angemietet kostet, kann problemlos mehr als 30.000 User beherrbergen, aber es gibt noch weitere kleinere Kosten wie z.B. den erstmaligen SMS-Versand für die Registrierung, etc.
Kosten in Höhe von 1 Cent pro User und Monat sind insgesamt durchaus realistisch.</t>
        </r>
      </text>
    </comment>
    <comment ref="B42" authorId="0">
      <text>
        <r>
          <rPr>
            <b/>
            <sz val="9"/>
            <color indexed="81"/>
            <rFont val="Tahoma"/>
            <family val="2"/>
          </rPr>
          <t>Michael Schöggl:</t>
        </r>
        <r>
          <rPr>
            <sz val="9"/>
            <color indexed="81"/>
            <rFont val="Tahoma"/>
            <family val="2"/>
          </rPr>
          <t xml:space="preserve">
</t>
        </r>
        <r>
          <rPr>
            <b/>
            <sz val="9"/>
            <color indexed="81"/>
            <rFont val="Tahoma"/>
            <family val="2"/>
          </rPr>
          <t>Mit welchen Fixkosten müssen wir monatlich für Server, Lizenzen und andere userabhängige Kosten rechnen?</t>
        </r>
        <r>
          <rPr>
            <sz val="9"/>
            <color indexed="81"/>
            <rFont val="Tahoma"/>
            <family val="2"/>
          </rPr>
          <t xml:space="preserve">
</t>
        </r>
        <r>
          <rPr>
            <u/>
            <sz val="9"/>
            <color indexed="81"/>
            <rFont val="Tahoma"/>
            <family val="2"/>
          </rPr>
          <t>Begründung für diesen Wert</t>
        </r>
        <r>
          <rPr>
            <sz val="9"/>
            <color indexed="81"/>
            <rFont val="Tahoma"/>
            <family val="2"/>
          </rPr>
          <t xml:space="preserve">:
- Es handelt sich hier um einen Erfahrungswert aufgrund bisherigen Kosten - auch wenn bei 2000 € bereits alle Lizenzenkosten (für Shutterstock, Unity, Cision, Mailworx, etc.) enthalten sind.
- Diese nicht-userabgängigen Lizenzkosten sind nur einmalig zu bezahlen und werden später in den Betriebsausgaben veranschlagt. 
- Dieser Wert soll sich auf (noch nicht vorhandene) userabhängige Lizenzrechte, Service-Kosten (z.B. der SMS-Versand für den Zugangscode bei der Registrierung neuer User) und die bereits bekannten Serverkosten (ca. 300 € pro Monat für einen Server, der locker 300.000 User verwalten kann) beziehen. </t>
        </r>
      </text>
    </comment>
    <comment ref="C42" authorId="0">
      <text>
        <r>
          <rPr>
            <b/>
            <sz val="9"/>
            <color indexed="81"/>
            <rFont val="Tahoma"/>
            <family val="2"/>
          </rPr>
          <t>Michael Schöggl:</t>
        </r>
        <r>
          <rPr>
            <sz val="9"/>
            <color indexed="81"/>
            <rFont val="Tahoma"/>
            <family val="2"/>
          </rPr>
          <t xml:space="preserve">
</t>
        </r>
        <r>
          <rPr>
            <b/>
            <sz val="9"/>
            <color indexed="81"/>
            <rFont val="Tahoma"/>
            <family val="2"/>
          </rPr>
          <t>Wieviel € wird uns jeder User pro Monat für Service, Server und Lizenzrechte kosten?</t>
        </r>
        <r>
          <rPr>
            <sz val="9"/>
            <color indexed="81"/>
            <rFont val="Tahoma"/>
            <family val="2"/>
          </rPr>
          <t xml:space="preserve">
</t>
        </r>
        <r>
          <rPr>
            <u/>
            <sz val="9"/>
            <color indexed="81"/>
            <rFont val="Tahoma"/>
            <family val="2"/>
          </rPr>
          <t>Begründung für diesen Wert</t>
        </r>
        <r>
          <rPr>
            <sz val="9"/>
            <color indexed="81"/>
            <rFont val="Tahoma"/>
            <family val="2"/>
          </rPr>
          <t>:
- Nach unseren Basis-Kosten für Lizenzen etc. wurden ab 2021 weiter 0,01 Cent pro User veranschlagt, um u.a. die steigenden Serverkosten abzubilden. Jeder Server, der pro Monat rund 300 Euro angemietet kostet, kann problemlos mehr als 30.000 User beherrbergen, aber es gibt noch weitere kleinere Kosten wie z.B. den erstmaligen SMS-Versand für die Registrierung, etc.
- Kosten in Höhe von 1 Cent pro User und Monat sind insgesamt realistisch und pessimistisch geschätzt.
- Mittelfristig werden wir Server nicht mehr mieten, sondern selbst anschaffen, aber die Kosten werde als Abschreibposten ungefähr dieselben bleiben (eher sinken als steigen).</t>
        </r>
      </text>
    </comment>
    <comment ref="A43" authorId="0">
      <text>
        <r>
          <rPr>
            <b/>
            <sz val="9"/>
            <color indexed="81"/>
            <rFont val="Tahoma"/>
            <family val="2"/>
          </rPr>
          <t>Michael Schöggl:</t>
        </r>
        <r>
          <rPr>
            <sz val="9"/>
            <color indexed="81"/>
            <rFont val="Tahoma"/>
            <family val="2"/>
          </rPr>
          <t xml:space="preserve">
- Hier werden sämtliche Ausgaben für externe Dienstleister und sonstige Ausgaben (die nicht in die anderen Kategorien passen) subsummiert. 
- U.a. sind das Kosten für outgesourcte Softwareentwicklung, Rechtsberatung, IP-Beratung, allgemeine Unternehmsberatung (z.B. beim Pricing), Marketing-Dienstleistungen, Animation von 3D-Modellen (z.B. virtuelle Haustiere), Homepage-Entwicklung (eigentlich abgeschlossen - nichts, was wir selbst machen), etc.
- Kosten, die im Zuge eines Abos entstehen (z.B. für Shutterstock, Cision, Mailworx, Server, Lizenzen, etc.) werden hier nicht gelistet, sondern in der Kategorie 3.4 Betriebsausgaben, wenn sie unabhängig von der Anzahl unserer User sind, bzw. 3.10, wenn sie mit der Useranzahl mitskalieren. </t>
        </r>
      </text>
    </comment>
    <comment ref="B43" authorId="0">
      <text>
        <r>
          <rPr>
            <b/>
            <sz val="9"/>
            <color indexed="81"/>
            <rFont val="Tahoma"/>
            <family val="2"/>
          </rPr>
          <t>Michael Schöggl:</t>
        </r>
        <r>
          <rPr>
            <sz val="9"/>
            <color indexed="81"/>
            <rFont val="Tahoma"/>
            <family val="2"/>
          </rPr>
          <t xml:space="preserve">
</t>
        </r>
        <r>
          <rPr>
            <b/>
            <sz val="9"/>
            <color indexed="81"/>
            <rFont val="Tahoma"/>
            <family val="2"/>
          </rPr>
          <t xml:space="preserve">
Wieviel Prozent der gesamten Einnahmen werden wir für Outsourcing, externe Dienstleister und sonstige Ausgaben benötigen?</t>
        </r>
        <r>
          <rPr>
            <sz val="9"/>
            <color indexed="81"/>
            <rFont val="Tahoma"/>
            <family val="2"/>
          </rPr>
          <t xml:space="preserve">
</t>
        </r>
        <r>
          <rPr>
            <u/>
            <sz val="9"/>
            <color indexed="81"/>
            <rFont val="Tahoma"/>
            <family val="2"/>
          </rPr>
          <t>Begründung für diesen Wert</t>
        </r>
        <r>
          <rPr>
            <sz val="9"/>
            <color indexed="81"/>
            <rFont val="Tahoma"/>
            <family val="2"/>
          </rPr>
          <t>:
- Gerade zu Beginn werden wir keine Rechtsabteilung oder HR-Abteilung haben, sondern externe Dienstleister für derlei Aufgaben beschäftigen. Auch Marketing-Dienstleistungen sind hier abgebildet.
- Ein Teil unserer Entwicklung wird gerade zu Beginn auch durch Outsourcing abgedeckt, da dieser Weg es ermöglicht, international Experten relativ rasch einzusetzen. Ein eigenes Team aufzubauen, das alle Aufgaben übernimmt, kann einige Monate dauern. 
- Zu Beginn entsprechen 5% der Einnahmen zuzüglich 10.000 € an monatlichen Fixkosten einem Erfahrungswert, der genug Spielraum für Outsourcing lässt.
- Die Kosten pro Quartal steigen kontinuierlich um diese 5% der Einnahmen an, es wird der Wert des vorherigen Quartals entsprechend erhöht. Diese "Mindestkosten" bleiben erhalten.</t>
        </r>
      </text>
    </comment>
    <comment ref="C43"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fallen die prozentualen, einnahmeabhängigen Kosten für externe Dienstleistungen?</t>
        </r>
        <r>
          <rPr>
            <sz val="9"/>
            <color indexed="81"/>
            <rFont val="Tahoma"/>
            <family val="2"/>
          </rPr>
          <t xml:space="preserve">
</t>
        </r>
        <r>
          <rPr>
            <u/>
            <sz val="9"/>
            <color indexed="81"/>
            <rFont val="Tahoma"/>
            <family val="2"/>
          </rPr>
          <t>Begründung für diesen Wert</t>
        </r>
        <r>
          <rPr>
            <sz val="9"/>
            <color indexed="81"/>
            <rFont val="Tahoma"/>
            <family val="2"/>
          </rPr>
          <t>:
- Langfristig werden die Kosten für externe Dienstleister sinken, weil wir eigene Mitarbeiter für derlei Aufgaben beschäftigen werden. Darum wird der Prozentsatz von den Einnahmen im Laufe der Quartale deutlich fallen.
- Dazu kommt, dass unsere Kosten nicht im selben Ausmaß wie unsere Einnahmen ansteigen müssen, weil unsere Einnahmen primär aus neuen Usern resultieren und mehr User nicht zwangsläufig höhere Entwicklungskosten bedeuten müssen.</t>
        </r>
      </text>
    </comment>
    <comment ref="A44" authorId="1">
      <text>
        <r>
          <rPr>
            <b/>
            <sz val="9"/>
            <color indexed="81"/>
            <rFont val="Tahoma"/>
            <family val="2"/>
          </rPr>
          <t>e.com:</t>
        </r>
        <r>
          <rPr>
            <sz val="9"/>
            <color indexed="81"/>
            <rFont val="Tahoma"/>
            <family val="2"/>
          </rPr>
          <t xml:space="preserve">
</t>
        </r>
        <r>
          <rPr>
            <u/>
            <sz val="9"/>
            <color indexed="81"/>
            <rFont val="Tahoma"/>
            <family val="2"/>
          </rPr>
          <t>Informationen zu bezahlter Werbung:</t>
        </r>
        <r>
          <rPr>
            <sz val="9"/>
            <color indexed="81"/>
            <rFont val="Tahoma"/>
            <family val="2"/>
          </rPr>
          <t xml:space="preserve">
- erste Tests zeigen: rund 3 € pro neuem User (= Anmeldung, nicht nur Installation)
- viele Werbevideos sind vorbereitet und es ist einfach, neue zu erstellen: http://bit.ly/2zlcvAl
- wir werden bis Mitte 2020 verschiedenste Marketing-Zugänge austesten und jene mit dem besten Kosten-Nutzen-Verhältnis optimieren und forcieren
- die Kosten pro neuem User sind EXTREM wichtig, da uns jeder User pro Jahr mehr Geld bringt, als kostet und es sich daher lohnt, so viel Geld wie möglich in Werbung zu investieren
- wegen der geringen Fixkosten der Entwicklung (neue Inhalte stammen meist von Partnern!) wird connect alle Werbeausgaben multiplikativ wieder einspielen
- daher wichtigstes Ziel: Werbekosten pro neuem User minimieren und möglichst viel Geld in Werbung zu investieren (wir rechnen mit 30 % der Einnahmen)
- Kreislauf führt zu exponentiellem Wachstum: je mehr User, umso mehr Einnahmen und dadurch immer mehr Werbung (prozentualer Anteil der Einnahmen) - was wieder zu mehr Usern führt... wir gewinnen sehr schnell an Tempo
- bis die Kosten für neue User die Einnahmen übersteigen (weil die primäre Zielgruppe zunehmend ausgeschöpft ist) werden wir uns massiv auf bezahlte Werbung konzentrieren, danach (ca. ab 100+ Mio User) sind unsere multiplikativen Tricks (1.3 bis 1.9) mehr als ausreichend
</t>
        </r>
      </text>
    </comment>
    <comment ref="B44"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Wie viel kostet uns jeder neue User mit bezahlter Werbung? </t>
        </r>
        <r>
          <rPr>
            <sz val="9"/>
            <color indexed="81"/>
            <rFont val="Tahoma"/>
            <family val="2"/>
          </rPr>
          <t xml:space="preserve">
</t>
        </r>
        <r>
          <rPr>
            <u/>
            <sz val="9"/>
            <color indexed="81"/>
            <rFont val="Tahoma"/>
            <family val="2"/>
          </rPr>
          <t>Begründung für diesen Wert:</t>
        </r>
        <r>
          <rPr>
            <sz val="9"/>
            <color indexed="81"/>
            <rFont val="Tahoma"/>
            <family val="2"/>
          </rPr>
          <t xml:space="preserve">
- erste Tests zeigen ca. 3 € Kosten pro neuem User
- entspricht auch den durchschnittlichen Kosten laut mehreren Internetquellen (unten)
- durchschnittliche Kosten pro Installation sind laut Statista 0,44 Dollar bzw. 1,91 $ in den USA und 0,99 $ in Europa laut mobyaffiliates.com (siehe Quellen)
- bis Mitte 2020 testen wir mit geringem Kapital verschiedene Werbekanäle, der Fokus liegt auf Informationsgewinn statt neuen Usern</t>
        </r>
      </text>
    </comment>
    <comment ref="C44"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Absolute Verringerung der Akquirierungskosten pro Quartal in Euro.
</t>
        </r>
        <r>
          <rPr>
            <u/>
            <sz val="9"/>
            <color indexed="81"/>
            <rFont val="Tahoma"/>
            <family val="2"/>
          </rPr>
          <t xml:space="preserve">Begründung für diesen Wert:
</t>
        </r>
        <r>
          <rPr>
            <sz val="9"/>
            <color indexed="81"/>
            <rFont val="Tahoma"/>
            <family val="2"/>
          </rPr>
          <t>- Werbematerial wird immer professioneller.
- Erfahrungen helfen, den Werbezugang zu optimieren. 
- Das Produkt verbessert sich, der Nutzen für den Kunden steigt, wodurch auch mehr auf die Werbung anspringen. 
- Die Werbekosten allgemein sinken eher, als dass sie steigen würden.</t>
        </r>
      </text>
    </comment>
    <comment ref="J44" authorId="0">
      <text>
        <r>
          <rPr>
            <b/>
            <sz val="9"/>
            <color indexed="81"/>
            <rFont val="Tahoma"/>
            <family val="2"/>
          </rPr>
          <t xml:space="preserve">Michael Schöggl:
</t>
        </r>
        <r>
          <rPr>
            <sz val="9"/>
            <color indexed="81"/>
            <rFont val="Tahoma"/>
            <family val="2"/>
          </rPr>
          <t xml:space="preserve">
Durchschnittswert für dieses Jahr.</t>
        </r>
      </text>
    </comment>
    <comment ref="A45" authorId="0">
      <text>
        <r>
          <rPr>
            <b/>
            <sz val="9"/>
            <color indexed="81"/>
            <rFont val="Tahoma"/>
            <family val="2"/>
          </rPr>
          <t xml:space="preserve">Michael Schöggl:
</t>
        </r>
        <r>
          <rPr>
            <sz val="9"/>
            <color indexed="81"/>
            <rFont val="Tahoma"/>
            <family val="2"/>
          </rPr>
          <t xml:space="preserve">
Bis Mitte 2020 machen wir nur erste, günstige Tests mit bezahlter Werbung, um jene Kanäle zu finden, die das besten Kosten-Nutzen-Verhältnis haben (u.a. werden wir AdColony und Vungle testen, aber auch viele komplett andere Zugänge). 
Wenn wir bis Mitte 2020 den für uns besten Zugang gefunden haben, werden wir ihn optimieren und perfektionieren, um möglichst nicht mehr als 3 € pro neuem User an Kosten zu haben. Das sind realistische Erfahrungswerte für kostenlose Apps und Spiele, die sich sicher erreichen lassen, da connect ein breiteres, weniger spezifisches Puplikum anspricht und auch mehr weniger stark umkämpfte Werbezugänge erlaubt, als klassische App-Spiele. Wenn wir dieses Ziel erreichen, werden wir je nach finanzieller Aussicht zwischen 0 und 5.000 € pro Monat in Werbung stecken, bis wir erste Einnahmen haben. Die Prognose rechnet aktuell mit mindestens 5.000 € an Werbekosten pro Monat ab Mitte 2018.
Sobald wir Einnahmen haben, wollen wir rund 30% der Einnahmen in Werbung reinvestieren - jedoch mit einer Obergrenze, die nun willkürlich mit 1.000.000 festgelegt wurde</t>
        </r>
      </text>
    </comment>
    <comment ref="B45" authorId="0">
      <text>
        <r>
          <rPr>
            <b/>
            <sz val="9"/>
            <color indexed="81"/>
            <rFont val="Tahoma"/>
            <family val="2"/>
          </rPr>
          <t>Michael Schöggl:</t>
        </r>
        <r>
          <rPr>
            <sz val="9"/>
            <color indexed="81"/>
            <rFont val="Tahoma"/>
            <family val="2"/>
          </rPr>
          <t xml:space="preserve">
</t>
        </r>
        <r>
          <rPr>
            <b/>
            <sz val="9"/>
            <color indexed="81"/>
            <rFont val="Tahoma"/>
            <family val="2"/>
          </rPr>
          <t xml:space="preserve">Prozentsatz der Einnahmen, die wir pro Monat in bezahlte Werbung stecken. </t>
        </r>
        <r>
          <rPr>
            <sz val="9"/>
            <color indexed="81"/>
            <rFont val="Tahoma"/>
            <family val="2"/>
          </rPr>
          <t xml:space="preserve">
</t>
        </r>
        <r>
          <rPr>
            <u/>
            <sz val="9"/>
            <color indexed="81"/>
            <rFont val="Tahoma"/>
            <family val="2"/>
          </rPr>
          <t>Begründung für diesen Wert:</t>
        </r>
        <r>
          <rPr>
            <sz val="9"/>
            <color indexed="81"/>
            <rFont val="Tahoma"/>
            <family val="2"/>
          </rPr>
          <t xml:space="preserve">
- Dieser Wert hängt natürlich davon ab, wie viel uns jeder neue User tatsächlich kostet und ein Einnahmen bringt. 
- Auf Basis der aktuellen Schätzwerte ist klar, dass jeder User sehr rasch deutlich mehr Geld einbringt, als er kostet - weshalb es solange Sinn für uns macht, möglichst viel Geld in Werbung zu stecken, solange wir ein gutes Verhältnis der Kosten pro neuem User aufrechterhalten können. 
- Irgendwann sind bestimmte Marketingkanäle oder die Zielgruppe erschöpft und bei anderen Zugängen sind die Kosten pro neuem User höher, eventuell zu hoch. Darum gibt es in der Spalte rechts auch einen Grenzwert, wie viel Geld wir maximal pro Monat in bezahlte Werbung stecken sollten.
- Dieser Wert ist absichtlich ein Prozentwert von den Einnahmen, weil wir damit nicht riskieren würden, uns zu stark zu verschulden. 
- Mit entsprechendem Investment könnten wir natürlich auch unabhängig von den Einnahmen deutlich mehr Geld für bezahlte Werbung ausgeben und viel schneller wachsen. Wie die Zahlen in dieser Tabelle und bei vergleichbaren, erfolgreichen Social Networks zeigen (die teilweise Wachstumsraten von mehr als 500% pro Jahr haben - über die ersten 2-4 Jahre hinweg), entwicklen sich die Einnahmen und Userzahlen fast exponentiell, was bedeutet, dass es durchaus Sinn machen würde, den Start gewaltig zu beschleunigen, weil wir dann auch viel schneller in die schwarzen Zahlen kommen. 
- Weil wir x % der Einnahmen in Werbung investieren, ist die Entwicklung der Userzahlen "noch" exponentieller als ohnehin schon, schließlich bekommen wir durch mehr User mehr Einnahmen und investieren einen Teil dieser Einnahmen wieder in die Akquise neuer User. Der Kreislauf dreht sich immer schneller.</t>
        </r>
      </text>
    </comment>
    <comment ref="C45" authorId="0">
      <text>
        <r>
          <rPr>
            <b/>
            <sz val="9"/>
            <color indexed="81"/>
            <rFont val="Tahoma"/>
            <family val="2"/>
          </rPr>
          <t>Michael Schöggl:</t>
        </r>
        <r>
          <rPr>
            <sz val="9"/>
            <color indexed="81"/>
            <rFont val="Tahoma"/>
            <family val="2"/>
          </rPr>
          <t xml:space="preserve">
</t>
        </r>
        <r>
          <rPr>
            <b/>
            <sz val="9"/>
            <color indexed="81"/>
            <rFont val="Tahoma"/>
            <family val="2"/>
          </rPr>
          <t>Obergrenze. Wieviel € sollen maximalen pro Monat für Werbung ausgegeben werden?</t>
        </r>
        <r>
          <rPr>
            <sz val="9"/>
            <color indexed="81"/>
            <rFont val="Tahoma"/>
            <family val="2"/>
          </rPr>
          <t xml:space="preserve">
</t>
        </r>
        <r>
          <rPr>
            <u/>
            <sz val="9"/>
            <color indexed="81"/>
            <rFont val="Tahoma"/>
            <family val="2"/>
          </rPr>
          <t>Begründung für diesen Wert</t>
        </r>
        <r>
          <rPr>
            <sz val="9"/>
            <color indexed="81"/>
            <rFont val="Tahoma"/>
            <family val="2"/>
          </rPr>
          <t xml:space="preserve">:
- Es lassen sich nicht unbegrenzt viele Menschen monatlich mit bezahlter Werbung erreichen, ohne dass die Kosten pro neuem User durch Ineffizienz der Werbezugänge deutlich ansteigen. 
- Der Wert mit 10.000.000 € ist extrem hoch gewählt, weil es für ein Produkt wie connect a.) extrem viele verschiedene Möglichkeiten gibt, effektiv Werbung zu machen, und wir b.) bei den aktuellen Schätzungen auch genügend finanzielle Mittel hätten, um die besten Marketing-Profis weltweit einsetzen zu können.
- Solange uns jeder neue User weniger kostet, als er (mittelfristig) bringt, lohnt es sich, so viel Geld wie möglich in Werbung und Wachstum zu stecken. </t>
        </r>
      </text>
    </comment>
    <comment ref="B46" authorId="0">
      <text>
        <r>
          <rPr>
            <b/>
            <sz val="9"/>
            <color indexed="81"/>
            <rFont val="Tahoma"/>
            <family val="2"/>
          </rPr>
          <t>Michael Schöggl:</t>
        </r>
        <r>
          <rPr>
            <sz val="9"/>
            <color indexed="81"/>
            <rFont val="Tahoma"/>
            <family val="2"/>
          </rPr>
          <t xml:space="preserve">
</t>
        </r>
        <r>
          <rPr>
            <b/>
            <sz val="9"/>
            <color indexed="81"/>
            <rFont val="Tahoma"/>
            <family val="2"/>
          </rPr>
          <t>Wieviel Euro sollen insgesamt für eine "Boost-Kampagne" zu Beginn - d.h. nach dem offiziellem Release Mitte 2020 - ausgegeben werden?</t>
        </r>
        <r>
          <rPr>
            <sz val="9"/>
            <color indexed="81"/>
            <rFont val="Tahoma"/>
            <family val="2"/>
          </rPr>
          <t xml:space="preserve"> 
Verteilung ab Q3 2020 (pro Quartal): 35%, 30%, 20%, 15%
</t>
        </r>
        <r>
          <rPr>
            <u/>
            <sz val="9"/>
            <color indexed="81"/>
            <rFont val="Tahoma"/>
            <family val="2"/>
          </rPr>
          <t>Begründung für diesen Wert</t>
        </r>
        <r>
          <rPr>
            <sz val="9"/>
            <color indexed="81"/>
            <rFont val="Tahoma"/>
            <family val="2"/>
          </rPr>
          <t xml:space="preserve">:
- Je schneller unsere Userzahl </t>
        </r>
        <r>
          <rPr>
            <u/>
            <sz val="9"/>
            <color indexed="81"/>
            <rFont val="Tahoma"/>
            <family val="2"/>
          </rPr>
          <t>zu Beginn</t>
        </r>
        <r>
          <rPr>
            <sz val="9"/>
            <color indexed="81"/>
            <rFont val="Tahoma"/>
            <family val="2"/>
          </rPr>
          <t xml:space="preserve"> wächst, umso früher kommen wir in die Gewinnzone und umso mehr steigert sich auch das Wachstum von connect in den darauffolgenden Monaten. Darum lohnt es sich einen Teil des Investments gleich in bezahlte Werbung zu investieren - sofern die Mittel dafür übrig sind.
- Solange unsicher ist, ob jeder neue User wirklich mehr einbringt, als er kostet, stellt dieses Investment natürlich ein Risiko dar, darum macht diese Kampagne erst dann und nur solange Sinn, bis die Akquirierungskosten durch ein Ausschöpfen dieses Marketingzugangs zu hoch werden. Bevor wir so eine Kampagne starten, müssen wir genaue Zahlen zur Absprungrate und zu den ersten Einnahmen über den In-App-Shop haben, idealerweise auch die Wachstumsraten auf Basis der bereits bestehenden User. Diese Zahlen hier eingegeben erlauben einfache Hochrechnungen, ob sich das Investment lohnt. 
- Der hier eingetragene Betrag wird auf ein Jahr verteilt ausgegeben, davon 35% im 1. Quartal, 30% im 2. Quartal, 20% im 3. Quartal und 15% im 4. Quartal. Umso früher User akquiriert werden, umso stärker beeinflusst das den gesamten zukünftigen Verlauf positiv, aber gleichzeitig ergeben sich dadurch natürlich auch Risiken (z.B. kann der positive Werbeeffekt nicht beliebig weit hochskaliert werden). Das tatsächliche Tempo der Kampagne wird also von den konkreten Zahlen und Erfahrungen bis zu diesem Zeitpunkt abhängig gemacht.</t>
        </r>
      </text>
    </comment>
    <comment ref="A47" authorId="0">
      <text>
        <r>
          <rPr>
            <b/>
            <sz val="9"/>
            <color indexed="81"/>
            <rFont val="Tahoma"/>
            <family val="2"/>
          </rPr>
          <t xml:space="preserve">Michael Schöggl:
</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
</t>
        </r>
      </text>
    </comment>
    <comment ref="A49"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List>
</comments>
</file>

<file path=xl/comments3.xml><?xml version="1.0" encoding="utf-8"?>
<comments xmlns="http://schemas.openxmlformats.org/spreadsheetml/2006/main">
  <authors>
    <author>Michael Schöggl</author>
    <author>e.com</author>
  </authors>
  <commentList>
    <comment ref="B2" authorId="0">
      <text>
        <r>
          <rPr>
            <b/>
            <sz val="9"/>
            <color indexed="81"/>
            <rFont val="Tahoma"/>
            <family val="2"/>
          </rPr>
          <t>Michael Schöggl:</t>
        </r>
        <r>
          <rPr>
            <sz val="9"/>
            <color indexed="81"/>
            <rFont val="Tahoma"/>
            <family val="2"/>
          </rPr>
          <t xml:space="preserve">
- Die vorsichtige Prognose geht in allen Bereichen von vorsichtigen, eher pessimistischen Werte aus, ohne damit zu übertreiben (also ein Szenario zu beschreiben, das unserer Einschätzung nach mit 95%-iger Wahrscheinlichkeit nicht noch schlimmer eintreten könnte). 
- Mit sehr hoher Sicherheit sollten wir die Ergebnisse dieser Prognose problemlos einhalten können. Bei dieser Prognose hätten wir uns keine hohen Ziele gesetzt, sondern würden mit viel Durchschnittlichkeit gekonnt die großen Chancen unseres Projektes ignorieren.
- Dennoch wäre unser Projekt hoch profitabel und aus rein finanzieller Sicht sehr erfolgreich. </t>
        </r>
      </text>
    </comment>
    <comment ref="D2" authorId="0">
      <text>
        <r>
          <rPr>
            <b/>
            <sz val="9"/>
            <color indexed="81"/>
            <rFont val="Tahoma"/>
            <family val="2"/>
          </rPr>
          <t>Michael Schöggl:</t>
        </r>
        <r>
          <rPr>
            <sz val="9"/>
            <color indexed="81"/>
            <rFont val="Tahoma"/>
            <family val="2"/>
          </rPr>
          <t xml:space="preserve">
- </t>
        </r>
        <r>
          <rPr>
            <u/>
            <sz val="9"/>
            <color indexed="81"/>
            <rFont val="Tahoma"/>
            <family val="2"/>
          </rPr>
          <t>In den hell-orange-rosanen Zellen</t>
        </r>
        <r>
          <rPr>
            <sz val="9"/>
            <color indexed="81"/>
            <rFont val="Tahoma"/>
            <family val="2"/>
          </rPr>
          <t xml:space="preserve"> wurden die Werte von Ihrer Schätzung im Register-Tab "Eigene Schätzung" übernommen.
-</t>
        </r>
        <r>
          <rPr>
            <u/>
            <sz val="9"/>
            <color indexed="81"/>
            <rFont val="Tahoma"/>
            <family val="2"/>
          </rPr>
          <t xml:space="preserve"> In den kräftig orangen Zellen</t>
        </r>
        <r>
          <rPr>
            <sz val="9"/>
            <color indexed="81"/>
            <rFont val="Tahoma"/>
            <family val="2"/>
          </rPr>
          <t xml:space="preserve"> können Sie weitere, zusätzliche Schätzwerte eintragen bzw. die bisherigen Werte durch einen zeitlichen Verlauf (z.B. Wachstum oder Reduktion eines Wertes um x pro Quartal) noch genauer spezifizieren.
- In den anderen </t>
        </r>
        <r>
          <rPr>
            <u/>
            <sz val="9"/>
            <color indexed="81"/>
            <rFont val="Tahoma"/>
            <family val="2"/>
          </rPr>
          <t>Register Tabs</t>
        </r>
        <r>
          <rPr>
            <sz val="9"/>
            <color indexed="81"/>
            <rFont val="Tahoma"/>
            <family val="2"/>
          </rPr>
          <t xml:space="preserve"> mit unseren eigenen Schätzwerten (z.B. "Realistisch", "Vorsichtig", etc.) sind diese zwei Spalten (D, E) leer. Wenn Sie dort Schätzwerte händisch eintragen, überschreiben Sie damit temporär unsere Schätzwerte in den zwei Spalten links davon (B, C). So können Sie auch abseits von Ihren Schätzwerten in "Eigene Schätzung" sehr detallierte eigene Prognosen erstellen. 
- </t>
        </r>
        <r>
          <rPr>
            <u/>
            <sz val="9"/>
            <color indexed="81"/>
            <rFont val="Tahoma"/>
            <family val="2"/>
          </rPr>
          <t>Weißer Hintergrund</t>
        </r>
        <r>
          <rPr>
            <sz val="9"/>
            <color indexed="81"/>
            <rFont val="Tahoma"/>
            <family val="2"/>
          </rPr>
          <t xml:space="preserve">: Die Schätzwerte aus den Spalten D und E (bzw. wenn Sie keine gesetzt haben, aus B und C) werden dann für die Berechnung aller Werte in den Spalten rechts (ab F) übernommen. Jedoch NUR für jene, mit farbigem Hintergrund. Die Zellen ab Spalte F, die weißen Hintergrund haben, verlangen, dass Sie händisch Werte eintragen, für sie wird nicht auf Basis von Formeln und den Schätzwerten von B bis E ein Wert ermittelt. Üblicherweise hat das den Grund, dass für diese Quartale andere Zahlen gelten müssen, z.B., weil die App bis Mitte 2020 (d.h. 1. und 2. Quartal 2020) noch nicht fertiggestellt ist und daher viele Schätzwerte deutlich negativer ausfallen werden, als in den Formeln für die Zeit danach. 
- Eigene Schätzwerte können grundsätzlich überall, im gesamten File, eingetragen werden. Keine Zelle wurde gesperrt. Wenn sich darin aber bereits Formeln befunden haben, würden diese dadurch gelöscht werden. Daher empfehlen wir, eine Sicherungskopie des Files anzulegen, oder nur in einem Tab (z.B: "Ergebnis eigene Schätzung") die Zellen durch eigene Werte zu überschreiben. Oder Sie kopieren einen Register-Tab und arbeiten an der Kopie. 
</t>
        </r>
      </text>
    </comment>
    <comment ref="F2" authorId="0">
      <text>
        <r>
          <rPr>
            <b/>
            <sz val="9"/>
            <color indexed="81"/>
            <rFont val="Tahoma"/>
            <family val="2"/>
          </rPr>
          <t>Michael Schöggl:</t>
        </r>
        <r>
          <rPr>
            <sz val="9"/>
            <color indexed="81"/>
            <rFont val="Tahoma"/>
            <family val="2"/>
          </rPr>
          <t xml:space="preserve">
- By Q3 2020 connect will be in the alpha development phase, where many functions are still missing, usability is poor and our users will therefore jump out again quickly. 
- All values up to Q3 2020 cannot be compared with later values, therefore many were entered manually instead of calculated by formula.</t>
        </r>
      </text>
    </comment>
    <comment ref="G2" authorId="0">
      <text>
        <r>
          <rPr>
            <b/>
            <sz val="9"/>
            <color indexed="81"/>
            <rFont val="Tahoma"/>
            <family val="2"/>
          </rPr>
          <t xml:space="preserve">Michael Schöggl:
- </t>
        </r>
        <r>
          <rPr>
            <sz val="9"/>
            <color indexed="81"/>
            <rFont val="Tahoma"/>
            <family val="2"/>
          </rPr>
          <t>By Q3 2020 connect will be in the alpha development phase, where many functions are still missing, usability is poor and our users will therefore jump out again quickly. 
- All values up to Q3 2020 cannot be compared with later values, therefore many were entered manually instead of calculated by formula.</t>
        </r>
      </text>
    </comment>
    <comment ref="A3" authorId="1">
      <text>
        <r>
          <rPr>
            <b/>
            <sz val="9"/>
            <color indexed="81"/>
            <rFont val="Tahoma"/>
            <family val="2"/>
          </rPr>
          <t xml:space="preserve">e.com:
</t>
        </r>
        <r>
          <rPr>
            <sz val="9"/>
            <color indexed="81"/>
            <rFont val="Tahoma"/>
            <family val="2"/>
          </rPr>
          <t xml:space="preserve">
Für den Erfolg von connect sind vor allem die Userzahlen verantwortlich. 
</t>
        </r>
        <r>
          <rPr>
            <u/>
            <sz val="9"/>
            <color indexed="81"/>
            <rFont val="Tahoma"/>
            <family val="2"/>
          </rPr>
          <t>Wachstumsraten der erfolgreichsten Social Networks</t>
        </r>
        <r>
          <rPr>
            <sz val="9"/>
            <color indexed="81"/>
            <rFont val="Tahoma"/>
            <family val="2"/>
          </rPr>
          <t xml:space="preserve">: 
- im dritten Jahr hatten sie bereits mehr als 4 Millionen User (bis zu 355 Mio - WeChat)
- erst ab ca. 600 Millionen Usern weniger Wachstum als 50 % pro Jahr (davor deutlich mehr)
- siehe "Vergleich Wachstum Mitbewerber" (Register-Tab unten links)
</t>
        </r>
        <r>
          <rPr>
            <b/>
            <sz val="9"/>
            <color indexed="81"/>
            <rFont val="Tahoma"/>
            <family val="2"/>
          </rPr>
          <t xml:space="preserve">
Erklärungen:</t>
        </r>
        <r>
          <rPr>
            <sz val="9"/>
            <color indexed="81"/>
            <rFont val="Tahoma"/>
            <family val="2"/>
          </rPr>
          <t xml:space="preserve">
-</t>
        </r>
        <r>
          <rPr>
            <u/>
            <sz val="9"/>
            <color indexed="81"/>
            <rFont val="Tahoma"/>
            <family val="2"/>
          </rPr>
          <t xml:space="preserve"> Summe A</t>
        </r>
        <r>
          <rPr>
            <sz val="9"/>
            <color indexed="81"/>
            <rFont val="Tahoma"/>
            <family val="2"/>
          </rPr>
          <t xml:space="preserve"> (Zeile 8) zählt alle </t>
        </r>
        <r>
          <rPr>
            <u/>
            <sz val="9"/>
            <color indexed="81"/>
            <rFont val="Tahoma"/>
            <family val="2"/>
          </rPr>
          <t>neuen User</t>
        </r>
        <r>
          <rPr>
            <sz val="9"/>
            <color indexed="81"/>
            <rFont val="Tahoma"/>
            <family val="2"/>
          </rPr>
          <t xml:space="preserve"> abzüglich der Sättigung(!) zusammen, die </t>
        </r>
        <r>
          <rPr>
            <u/>
            <sz val="9"/>
            <color indexed="81"/>
            <rFont val="Tahoma"/>
            <family val="2"/>
          </rPr>
          <t>relativ unabhängig von der bisherigen User-Basis neu zu connect kommen</t>
        </r>
        <r>
          <rPr>
            <sz val="9"/>
            <color indexed="81"/>
            <rFont val="Tahoma"/>
            <family val="2"/>
          </rPr>
          <t xml:space="preserve"> (bezahlte Werbung, Medien-Berichte, organische Suche). Ohne diese Zugänge könnten wir zu Beginn nicht ausreichend viele User aufbauen, um über Summe B (Zeile 14) durch die Nutzung aller bisherigen User für Marketing-Maßnahmen prozentual weiter zu wachsen. 
- </t>
        </r>
        <r>
          <rPr>
            <u/>
            <sz val="9"/>
            <color indexed="81"/>
            <rFont val="Tahoma"/>
            <family val="2"/>
          </rPr>
          <t>Summe B</t>
        </r>
        <r>
          <rPr>
            <sz val="9"/>
            <color indexed="81"/>
            <rFont val="Tahoma"/>
            <family val="2"/>
          </rPr>
          <t xml:space="preserve"> (Zeile 14) zählt alle </t>
        </r>
        <r>
          <rPr>
            <u/>
            <sz val="9"/>
            <color indexed="81"/>
            <rFont val="Tahoma"/>
            <family val="2"/>
          </rPr>
          <t>neuen User</t>
        </r>
        <r>
          <rPr>
            <sz val="9"/>
            <color indexed="81"/>
            <rFont val="Tahoma"/>
            <family val="2"/>
          </rPr>
          <t xml:space="preserve"> abzüglich der Sättigung(!) zusammen, die </t>
        </r>
        <r>
          <rPr>
            <u/>
            <sz val="9"/>
            <color indexed="81"/>
            <rFont val="Tahoma"/>
            <family val="2"/>
          </rPr>
          <t>abhängig von der bisherigen User-Basis neu dazukommen</t>
        </r>
        <r>
          <rPr>
            <sz val="9"/>
            <color indexed="81"/>
            <rFont val="Tahoma"/>
            <family val="2"/>
          </rPr>
          <t xml:space="preserve">. Neben Mundpropaganda (1.5) sind das weitere "Tricks" (1.6 bis 1.9), um unsere bestehenden User als Werbebotschafter verwenden zu können.
- Von Summe A und B müssen dann noch unter 1.11 jene User abgezogen werden, die connect wieder verlassen. Wir rechnen hier mit einem einstellbaren Prozentsatz.
</t>
        </r>
        <r>
          <rPr>
            <b/>
            <sz val="9"/>
            <color indexed="81"/>
            <rFont val="Tahoma"/>
            <family val="2"/>
          </rPr>
          <t>Warum wird connect genauso schnell wie die erfolgreichsten Social Networks wachsen?</t>
        </r>
        <r>
          <rPr>
            <sz val="9"/>
            <color indexed="81"/>
            <rFont val="Tahoma"/>
            <family val="2"/>
          </rPr>
          <t xml:space="preserve">
- Andere Netzwerke wachsen meist nur durch bezahlte Werbung oder Mundpropaganda. 
- connect hat mindestens 4 zusätzliche, </t>
        </r>
        <r>
          <rPr>
            <b/>
            <sz val="9"/>
            <color indexed="81"/>
            <rFont val="Tahoma"/>
            <family val="2"/>
          </rPr>
          <t>einzigartige</t>
        </r>
        <r>
          <rPr>
            <sz val="9"/>
            <color indexed="81"/>
            <rFont val="Tahoma"/>
            <family val="2"/>
          </rPr>
          <t xml:space="preserve"> Zugänge mit multiplikativem</t>
        </r>
        <r>
          <rPr>
            <b/>
            <sz val="9"/>
            <color indexed="81"/>
            <rFont val="Tahoma"/>
            <family val="2"/>
          </rPr>
          <t xml:space="preserve"> Schnellball-Effekt</t>
        </r>
        <r>
          <rPr>
            <sz val="9"/>
            <color indexed="81"/>
            <rFont val="Tahoma"/>
            <family val="2"/>
          </rPr>
          <t xml:space="preserve">: 
- 1.3 Medien-Kooperationen durch die Medienschnittstelle: hunderte bis tausende Medien werden über uns kostenlos berichten, unser Erfolg ist auch ihr Erfolg
- 1.6 Multi-Messenger-Anhänge: durch "sent by connect" verbreitet jeder unserer User in seinem gesamten Kontakte-Netzwerk unseren Namen und erklärt auf Nachfrage hin, was connect ist
- 1.7 Multi-Messenger-Sharings in anderen Netzwerken: die Attraktivität von connect wird in Form von (360-Grad)-Videos und Fotos in allen anderen Netzwerken verbreitet
- 1.9 Initialisierte Mundpropaganda: durch unsere einzigartigen Klingeltöne und das Tresor-Mini-Spiele fallen unsere User in der Öffentlichkeit ständig auf
- connect hat mit Release im Jahr 2020 viel mehr zu bieten, als diese anderen Netzwerke bei ihrem Start (Multi-Media, VR, Video-Telefonie, Verschlüsselung, Individualisierung, virtuelles Eigentum, Spiele, virtuelle Haustiere, Multi-Messenger...)
- connect hebt sich sowohl optisch, als auch funktionell komplett von allen Konkurrenten ab, es gibt nichts Vergleichbares; connect ist technologisch führend und sehr verspielt für junge Menschen (VR, virtuelle Haustiere, individualisierbares Zuhause etc.)
- mit dem Multi-Messenger integriert connect die Stärken der anderen Netzwerke in sich selbst
- connect bietet maximalen Datenschutz, allein das ist ein Nutzungsgrund für Millionen Menschen und im Bereich VR ist das Neuland und von noch größerer Bedeutung (weil intimer, persönlicher)
</t>
        </r>
      </text>
    </comment>
    <comment ref="A4" authorId="1">
      <text>
        <r>
          <rPr>
            <b/>
            <sz val="9"/>
            <color indexed="81"/>
            <rFont val="Tahoma"/>
            <family val="2"/>
          </rPr>
          <t xml:space="preserve">e.com:
- </t>
        </r>
        <r>
          <rPr>
            <sz val="9"/>
            <color indexed="81"/>
            <rFont val="Tahoma"/>
            <family val="2"/>
          </rPr>
          <t>Diese Werte können auch manuell für jedes Quartal extra eingetragen werden, sinnvoller ist aber die Berechnung der Multiplikation aus Kosten pro neuem User (1.0) und der Werbeausgaben. Diese Werte daher am besten nicht manuell überschreiben, sondern indirekt durch die Änderungen in 1.0 und 3.12 erreichen.
- Das besondere an diesem Wert: Wir können ihn fast beliebig durch Werbeausgaben hochtreiben (und die Ausgaben werden mittelfristig deutlich unter den Einnahmen liegen), daher erlaubt er hohe Flexibilität. Selbst, wenn connect wider Erwarten nicht "von selbst" zum viralen Hit wird, durch entsprechende finanzielle Nachhilfe lässt sich der Erfolg mit Sicherheit erzielen. 
- Im Gegensatz zu vielen anderen Produkten und speziell VR-Apps hat connect eine fast unbegrenzte Zielgruppe, weil connect auch in 3D oder 2D und auf jedem Gerät erlebt werden kann und daher als maximale Zielgruppe Milliarden Menschen erreichen kann. Viele Menschen verwenden mehrere Soziale Netzwerke parallel zueinander, weshalb auch die Konkurrenz nicht zwingend unseren Erfolg bremsen muss. 
- Aber natürlich müsste der Marketing-Fokus sich auf die 3D-Versionen beziehen, wenn der VR-Markt "ausgeschöpft" sein sollte. Dieser VR-Markt ist aktuell (Ende 2019) noch sehr klein (rund 10 Mio Menschen), wird aber laut Prognosen in den kommenden 2-3 Jahren enorm anwachsen. In diesem Markt mitzuwachsen erlaubt ein besseres Kosten-Nutzen-Verhältnis, als ein Marketing-Fokus auf Nicht-VR-User (hier ist der Wettbewerb stärker und die Zielgruppe weniger Technik-affin), d.h. ein Wachstum abseits von VR wird teurer werden, aber sich wegen unserer vielen Geschäftsmodelle trotzdem noch lohnen.  
- Vermutlich kommt aber connect genau zum richtigen Zeitpunkt heraus, dass der VR-Markt schneller oder genauso schnell wächst, wie connect und wir den klassischen Social Network Markt auch ohne Marketing-Fokus einfach als Bonus mitnehmen können, ohne uns darauf konzentrieren zu müssen. -</t>
        </r>
      </text>
    </comment>
    <comment ref="B4" authorId="0">
      <text>
        <r>
          <rPr>
            <b/>
            <sz val="9"/>
            <color indexed="81"/>
            <rFont val="Tahoma"/>
            <family val="2"/>
          </rPr>
          <t xml:space="preserve">Michael Schöggl:
Diese Wert bitte in 3.13 einstellen, danke!
</t>
        </r>
        <r>
          <rPr>
            <sz val="9"/>
            <color indexed="81"/>
            <rFont val="Tahoma"/>
            <family val="2"/>
          </rPr>
          <t xml:space="preserve">
</t>
        </r>
        <r>
          <rPr>
            <b/>
            <sz val="9"/>
            <color indexed="81"/>
            <rFont val="Tahoma"/>
            <family val="2"/>
          </rPr>
          <t>Prozentsatz der Einnahmen, die wir pro Monat in bezahlte Werbung stecken.</t>
        </r>
        <r>
          <rPr>
            <sz val="9"/>
            <color indexed="81"/>
            <rFont val="Tahoma"/>
            <family val="2"/>
          </rPr>
          <t xml:space="preserve"> 
</t>
        </r>
        <r>
          <rPr>
            <u/>
            <sz val="9"/>
            <color indexed="81"/>
            <rFont val="Tahoma"/>
            <family val="2"/>
          </rPr>
          <t>Begründung für diesen Wert:</t>
        </r>
        <r>
          <rPr>
            <sz val="9"/>
            <color indexed="81"/>
            <rFont val="Tahoma"/>
            <family val="2"/>
          </rPr>
          <t xml:space="preserve">
- Dieser Wert hängt natürlich davon ab, wie viel uns jeder neue User tatsächlich kostet und ein Einnahmen bringt. 
- Auf Basis der aktuellen Schätzwerte ist klar, dass jeder User sehr rasch deutlich mehr Geld einbringt, als er kostet - weshalb es solange Sinn für uns macht, möglichst viel Geld in Werbung zu stecken, solange wir ein gutes Verhältnis der Kosten pro neuem User aufrechterhalten können. 
- Irgendwann sind bestimmte Marketingkanäle oder die Zielgruppe erschöpft und bei anderen Zugängen sind die Kosten pro neuem User höher, eventuell zu hoch. Darum gibt es in der Spalte rechts auch einen Grenzwert, wie viel Geld wir maximal pro Monat in bezahlte Werbung stecken sollten.
- Dieser Wert ist absichtlich ein Prozentwert von den Einnahmen, weil wir damit nicht riskieren würden, uns zu stark zu verschulden. 
- Mit entsprechendem Investment könnten wir natürlich auch unabhängig von den Einnahmen deutlich mehr Geld für bezahlte Werbung ausgeben und viel schneller wachsen. Wie die Zahlen in dieser Tabelle und bei vergleichbaren, erfolgreichen Social Networks zeigen (die teilweise Wachstumsraten von mehr als 500% pro Jahr haben - über die ersten 2-4 Jahre hinweg), entwicklen sich die Einnahmen und Userzahlen fast exponentiell, was bedeutet, dass es durchaus Sinn machen würde, den Start gewaltig zu beschleunigen, weil wir dann auch viel schneller in die schwarzen Zahlen kommen. 
- Weil wir x % der Einnahmen in Werbung investieren, ist die Entwicklung der Userzahlen "noch" exponentieller als ohnehin schon, schließlich bekommen wir durch mehr User mehr Einnahmen und investieren einen Teil dieser Einnahmen wieder in die Akquise neuer User. Der Kreislauf dreht sich immer schneller.</t>
        </r>
      </text>
    </comment>
    <comment ref="C4" authorId="0">
      <text>
        <r>
          <rPr>
            <b/>
            <sz val="9"/>
            <color indexed="81"/>
            <rFont val="Tahoma"/>
            <family val="2"/>
          </rPr>
          <t>Michael Schöggl:
Diesen Wert bitte in 3.13 einstellen, danke.</t>
        </r>
        <r>
          <rPr>
            <sz val="9"/>
            <color indexed="81"/>
            <rFont val="Tahoma"/>
            <family val="2"/>
          </rPr>
          <t xml:space="preserve">
</t>
        </r>
        <r>
          <rPr>
            <b/>
            <sz val="9"/>
            <color indexed="81"/>
            <rFont val="Tahoma"/>
            <family val="2"/>
          </rPr>
          <t xml:space="preserve">Obergrenze. Wieviel € sollen maximalen pro Monat für Werbung ausgegeben werden?
</t>
        </r>
        <r>
          <rPr>
            <u/>
            <sz val="9"/>
            <color indexed="81"/>
            <rFont val="Tahoma"/>
            <family val="2"/>
          </rPr>
          <t>Begründung für diesen Wert</t>
        </r>
        <r>
          <rPr>
            <sz val="9"/>
            <color indexed="81"/>
            <rFont val="Tahoma"/>
            <family val="2"/>
          </rPr>
          <t xml:space="preserve">:
- Es lassen sich nicht unbegrenzt viele Menschen monatlich mit bezahlter Werbung erreichen, ohne dass die Kosten pro neuem User durch Ineffizienz der Werbezugänge deutlich ansteigen. 
- Der Wert mit 10.000.000 € ist extrem hoch gewählt, weil es für ein Produkt wie connect a.) extrem viele verschiedene Möglichkeiten gibt, effektiv Werbung zu machen, und wir b.) bei den aktuellen Schätzungen auch genügend finanzielle Mittel hätten, um die besten Marketing-Profis weltweit einsetzen zu können.
- Solange uns jeder neue User weniger kostet, als er (mittelfristig) bringt, lohnt es sich, so viel Geld wie möglich in Werbung und Wachstum zu stecken. </t>
        </r>
        <r>
          <rPr>
            <sz val="9"/>
            <color indexed="81"/>
            <rFont val="Tahoma"/>
            <family val="2"/>
          </rPr>
          <t xml:space="preserve">
</t>
        </r>
      </text>
    </comment>
    <comment ref="A5" authorId="1">
      <text>
        <r>
          <rPr>
            <b/>
            <sz val="9"/>
            <color indexed="81"/>
            <rFont val="Tahoma"/>
            <family val="2"/>
          </rPr>
          <t xml:space="preserve">e.com:
</t>
        </r>
        <r>
          <rPr>
            <sz val="9"/>
            <color indexed="81"/>
            <rFont val="Tahoma"/>
            <family val="2"/>
          </rPr>
          <t xml:space="preserve">
- Unser Ziel wird es sein, im App-Store-Ranking und auch bei Steam in den Listen ganz weit oben zu landen. Wenn uns das gelingt, erreichen wir allein über die organische Suche (weil connect kostenlos und neuartig ist) zuverlässig tausende neue User pro Monat.
- Bereits wenige Wochen nach der stillen Veröffentlichung - mit einer unfertigen Version, ohne jegliche Marketing-Maßnahmen oder ernste App-Store-Optimierungen wird connect von rund 2000 neuen Usern pro Monat auf Steam heruntergeladen, auch wenn die App als Early Access in praktisch keiner Liste auftaucht (das ändert sich mit dem Release 2020). 
- Auch im Google Play Store erhalten wir täglich zwischen 10 und 50 Downloads, Tendenz steigend. 
- connect wird auch für PlayStation (VR) veröffentlicht und dort ganz sicher - mangels Konkurrenz und weil es kostenlos ist - von den bestehenden rund 400.000 neuen PlayStation-VR-Usern pro Quartal (Tendenz stark steigend) einen mindestens 1-3%igen Anteil der User erreichen können - ohne Werbekosten. Gerade die PlayStation hat ein gewaltiges Potential, weil es hier praktisch keine Alternativen gibt - auch nicht in absehbarer Zukunft. Schon gar keinen Multimessenger, mit dem man Mails, FB-Nachrichten, SMS und mehr schreiben kann. 
- Die Organische Suche über App-Store-Ranking reicht bei manchen Spielen aus, um in wenigen Monaten hunderttausende neue User zu erreichen. Wir werden einen großen Fokus darauf legen, in all diesen "Stores" (für alle unterstütze Geräte) maximale Sichtbarkeit zu erzielen. Die Schätzwerte hier sind also überaus vorsichtig, da connect kostenlos ist, könnte hier deutlich mehr Schwung reinkommen, sobald wir im Ranking ganz oben sind. </t>
        </r>
      </text>
    </comment>
    <comment ref="B5" authorId="0">
      <text>
        <r>
          <rPr>
            <b/>
            <sz val="9"/>
            <color indexed="81"/>
            <rFont val="Tahoma"/>
            <family val="2"/>
          </rPr>
          <t xml:space="preserve">Michael Schöggl:
</t>
        </r>
        <r>
          <rPr>
            <sz val="9"/>
            <color indexed="81"/>
            <rFont val="Tahoma"/>
            <family val="2"/>
          </rPr>
          <t xml:space="preserve">
</t>
        </r>
        <r>
          <rPr>
            <b/>
            <sz val="9"/>
            <color indexed="81"/>
            <rFont val="Tahoma"/>
            <family val="2"/>
          </rPr>
          <t>Um welchen Fixwert steigert sich die Anzahl der neuen User durch organische Suche pro Quartal?</t>
        </r>
        <r>
          <rPr>
            <sz val="9"/>
            <color indexed="81"/>
            <rFont val="Tahoma"/>
            <family val="2"/>
          </rPr>
          <t xml:space="preserve">
</t>
        </r>
        <r>
          <rPr>
            <u/>
            <sz val="9"/>
            <color indexed="81"/>
            <rFont val="Tahoma"/>
            <family val="2"/>
          </rPr>
          <t>Begründung für diesen Wert</t>
        </r>
        <r>
          <rPr>
            <sz val="9"/>
            <color indexed="81"/>
            <rFont val="Tahoma"/>
            <family val="2"/>
          </rPr>
          <t>:
- Die Steigerung liegt u.a. daran, dass wir im Ranking weiter aufsteigen, je mehr Downloads wir erhalten und dadurch viel einfacher zu finden sind. Außerdem werden wir unseren App-Store-Auftritt optimieren (ASO) (u.a. weil wir zunehmend mehr Geld und damit auch Möglichkeiten in durch Outsourcing-Profis haben).
- Für mehr Argumente siehe Spalte rechts.</t>
        </r>
      </text>
    </comment>
    <comment ref="C5" authorId="0">
      <text>
        <r>
          <rPr>
            <b/>
            <sz val="9"/>
            <color indexed="81"/>
            <rFont val="Tahoma"/>
            <family val="2"/>
          </rPr>
          <t xml:space="preserve">Michael Schöggl:
</t>
        </r>
        <r>
          <rPr>
            <sz val="9"/>
            <color indexed="81"/>
            <rFont val="Tahoma"/>
            <family val="2"/>
          </rPr>
          <t xml:space="preserve">
</t>
        </r>
        <r>
          <rPr>
            <b/>
            <sz val="9"/>
            <color indexed="81"/>
            <rFont val="Tahoma"/>
            <family val="2"/>
          </rPr>
          <t>Um wie viel Prozent erhöht sich der Wert pro Quartal?</t>
        </r>
        <r>
          <rPr>
            <sz val="9"/>
            <color indexed="81"/>
            <rFont val="Tahoma"/>
            <family val="2"/>
          </rPr>
          <t xml:space="preserve">
</t>
        </r>
        <r>
          <rPr>
            <u/>
            <sz val="9"/>
            <color indexed="81"/>
            <rFont val="Tahoma"/>
            <family val="2"/>
          </rPr>
          <t>Begründung für diesen Wert</t>
        </r>
        <r>
          <rPr>
            <sz val="9"/>
            <color indexed="81"/>
            <rFont val="Tahoma"/>
            <family val="2"/>
          </rPr>
          <t xml:space="preserve">:
- Die Steigerung wird nicht linear sein (also immer um einen Fixwert pro Quartal mehr), sondern umso stärker zunehmen, je bekannter die App wird und umso weiter sie auch im Ranking aufsteigt. 
- Wenn wir z.B. unter den Top 10 landen, dürfen wir allein dadurch mit Millionen Views pro Monat rechnen und insofern auch problemlos mit mehreren tausend neuen Usern. 
- Bis Ende 2022 sollte uns ein Platz unter den Top 10 für einige wichtige Keywords bzw. Kategorien gelingen. Mit entsprechendem Kapital lässt sich das aber schon viel früher erreichen.
- Wir werden einen starken Fokus auf App-Store-Optimierung legen und auch Zeit und Geld investieren, um auf möglichst vielen Plattformen möglichst einfach gefunden zu werden. Diese Investments sind primär Personalkosten (3.2), weshalb sich eine eigene Darstellung hier nicht lohnt.
- Umso vielseitiger connect (funktionell) wird, umso mehr Keywords passen für die organische Suche und umso höher steigen wir auch bei neuen Keywords im Ranking auf. 
- Wenn Partner oder Medien auf uns mit Links verweisen, beeinflußt das unser Ranking ebenso positiv. 
- Wir werden auch später Usern für (positive) Bewertungen In-App-Gegenleistungen geben, je positiver die Bewertung, umso höher steigen wir im Ranking. 
- Je mehr Downloads wir bereits erzielt haben, umso höher steigen wir im Ranking und umso mehr finden uns durch organische Suche.
- Unser CTO hat ganz alleine Apps programmiert, die mehr als 600 User </t>
        </r>
        <r>
          <rPr>
            <i/>
            <sz val="9"/>
            <color indexed="81"/>
            <rFont val="Tahoma"/>
            <family val="2"/>
          </rPr>
          <t>pro Tag</t>
        </r>
        <r>
          <rPr>
            <sz val="9"/>
            <color indexed="81"/>
            <rFont val="Tahoma"/>
            <family val="2"/>
          </rPr>
          <t xml:space="preserve"> an Downloads ohne irgendwelche Marketing-Maßnahmen allein aufgrund der organischen Suche verzeichnen (d.h. 18.000 im Monat). Unsere Werte hier sind sehr bescheiden.</t>
        </r>
      </text>
    </comment>
    <comment ref="A6" authorId="1">
      <text>
        <r>
          <rPr>
            <b/>
            <sz val="9"/>
            <color indexed="81"/>
            <rFont val="Tahoma"/>
            <family val="2"/>
          </rPr>
          <t xml:space="preserve">e.com:
Violette Marketing-Zugänge sind neuartige Konzepte von connect, die anderen Social Networks nicht zur Verfügung standen, oder zumindest nicht in diesem Ausmaß </t>
        </r>
        <r>
          <rPr>
            <sz val="9"/>
            <color indexed="81"/>
            <rFont val="Tahoma"/>
            <family val="2"/>
          </rPr>
          <t>(z.B. Medien direkt zur Berichterstattung zu motivieren (1.3) bzw. Usern für das Werben neuer User eine interessante Belohnung in Form von limitierten, exklusive In-App-Inhalten wie virtuellen Haustieren, etc. zu geben, die sie auch wirklich wollen (1.8))</t>
        </r>
        <r>
          <rPr>
            <b/>
            <sz val="9"/>
            <color indexed="81"/>
            <rFont val="Tahoma"/>
            <family val="2"/>
          </rPr>
          <t xml:space="preserve">. 
</t>
        </r>
        <r>
          <rPr>
            <sz val="9"/>
            <color indexed="81"/>
            <rFont val="Tahoma"/>
            <family val="2"/>
          </rPr>
          <t xml:space="preserve">
- Ab Q3 in 2020 ist connect fertig und wir werden bis dahin aufgebaute Medien-Kooperationen nutzen, um connect durch Berichterstattung bekannt zu machen.
- Bis dahin werden wir auch genügend Testuser haben, um den Medien unser Thema als berichtenswert zu verkaufen. 
- Manche Medien erreichen Millionen Menschen, wir haben die Kontaktdaten von 200.000 Medien weltweit, denen wir anbieten können, unsere Medienschnittstelle kostenlos verwenden zu können, wenn sie dafür über uns berichten. 
- Zu Beginn wird das Interesse zaghaft sein, aber wenn wir ein paar größere Medien durch persönliche Bemühungen überzeugen konnten, werden rasch immer mehr Medie mehr auf den "Zug aufspringen" und sich die kostenlose Schnittstelle durch Berichterstattung sichern.
- Die Medien müssen regelmäßig für die Schjnittstelle berichten und langfristig werden fast alle Medien ein Interesse haben, weil wir kostenlose neue Kunden bringen, über ein bereits an Fahrt gewinnendes neues Social Network in VR (bzw. die Verwirklichung von Träumen) zu berichten.</t>
        </r>
      </text>
    </comment>
    <comment ref="B6" authorId="0">
      <text>
        <r>
          <rPr>
            <b/>
            <sz val="9"/>
            <color indexed="81"/>
            <rFont val="Tahoma"/>
            <family val="2"/>
          </rPr>
          <t>Michael Schöggl:</t>
        </r>
        <r>
          <rPr>
            <sz val="9"/>
            <color indexed="81"/>
            <rFont val="Tahoma"/>
            <family val="2"/>
          </rPr>
          <t xml:space="preserve">
</t>
        </r>
        <r>
          <rPr>
            <b/>
            <sz val="9"/>
            <color indexed="81"/>
            <rFont val="Tahoma"/>
            <family val="2"/>
          </rPr>
          <t>Von wievielen neuen Usern durch Medienberichte gehen wir zu Beginn aus?</t>
        </r>
        <r>
          <rPr>
            <sz val="9"/>
            <color indexed="81"/>
            <rFont val="Tahoma"/>
            <family val="2"/>
          </rPr>
          <t xml:space="preserve"> (danach nur noch prozentuale Steigerung)
</t>
        </r>
        <r>
          <rPr>
            <u/>
            <sz val="9"/>
            <color indexed="81"/>
            <rFont val="Tahoma"/>
            <family val="2"/>
          </rPr>
          <t>Begründung für diesen Wert:</t>
        </r>
        <r>
          <rPr>
            <sz val="9"/>
            <color indexed="81"/>
            <rFont val="Tahoma"/>
            <family val="2"/>
          </rPr>
          <t xml:space="preserve">
- 100 neue User pro Monat durch Medienberichte sind realistisch, das entspricht ca. 1-2 kleineren Berichten im Monat. Wir haben bereits fixe Zusagen von z.B. der Antenne Steiermark und Kärnten, dass sie mehrmals über uns berichten wollen. 
- Auch gab es vor Veröffentlichung der ersten Testversionen bereits ca. 30 Medienberichte über uns, u.a. vom ORF, Kleine Zeitung, Der Standard, OE24 (3 Berichte) und KroneHit. Leider waren all diese Medienberichte zu früh, die Interessierten hatten noch keine App, die sie probieren konnten, teilweise noch nicht einmal einen Homepage-Link. Wir warten nun absichtlich, bis connect einen guten Eindruck bei allen Testern hinterlässt, bevor wir erneut Zeit und Energie in die Medienberichterstattung stecken. Durch unsere Medienschnittstelle werden wir sehr leicht Berichterstattung erhalten, sobald connect fertiggestellt ist und ein positives Kundenerlebnis gewährleistet.
- Die Kronenzeitung und die Kleine Zeitung haben einer (weiteren) Berichterstattung bereits zugesagt. Rund 15 kleinere VR-Netzwerke haben bereits (lange vor einer testbaren Version und somit fast wirkungslos) berichtet und werden ziemlich sicher wieder berichten.
</t>
        </r>
      </text>
    </comment>
    <comment ref="C6" authorId="0">
      <text>
        <r>
          <rPr>
            <b/>
            <sz val="9"/>
            <color indexed="81"/>
            <rFont val="Tahoma"/>
            <family val="2"/>
          </rPr>
          <t>Michael Schöggl:</t>
        </r>
        <r>
          <rPr>
            <sz val="9"/>
            <color indexed="81"/>
            <rFont val="Tahoma"/>
            <family val="2"/>
          </rPr>
          <t xml:space="preserve">
</t>
        </r>
        <r>
          <rPr>
            <b/>
            <sz val="9"/>
            <color indexed="81"/>
            <rFont val="Tahoma"/>
            <family val="2"/>
          </rPr>
          <t>Um wieviel Prozent der aktuellen Userzahl steigen die neuen User durch Medienberichte pro Monat?</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eher werden Medien über uns berichten wollen. 
- Je mehr User wir haben, umso mehr Medien werden an unserer Medienschnittstelle interessiert sein (und berichten, um sie kostenlos verwenden zu können). 
- Folglich wird dieser Wert auch ohne Kosten für uns mit unserer User-Basis mit anwachsen. 
- 2 % Wachstum pro Monat bedeutet, dass durch die Berichterstattung der Medien unsere Userzahl pro Jahr um nicht ganz 25 % wächst. 
- Dieser Wert ist womöglich viel zu pessimistisch, da es viele Soziale Netzwerke, Spiele oder Trends gibt, die innerhalb kürzester Zeit (nachdem die Medien über sie berichten) "explodieren" (d.h. mehrere hundert bis tausend Prozent Wachstum pro Jahr, bis sie eine gewisse Größe erreicht haben und es keine Zielgruppe mehr für sie gibt). Siehe z.B. Pokemon Go. 
- Im Gegensatz zu anderen Netzwerken bieten wir den Medien für ihre Berichterstattung eine Gegenleistung durch unsere Medienschnittstelle und lassen sie an unserem Erfolg teilhaben.</t>
        </r>
      </text>
    </comment>
    <comment ref="A7" authorId="1">
      <text>
        <r>
          <rPr>
            <b/>
            <sz val="9"/>
            <color indexed="81"/>
            <rFont val="Tahoma"/>
            <family val="2"/>
          </rPr>
          <t xml:space="preserve">e.com:
</t>
        </r>
        <r>
          <rPr>
            <sz val="9"/>
            <color indexed="81"/>
            <rFont val="Tahoma"/>
            <family val="2"/>
          </rPr>
          <t xml:space="preserve">
- Ab 2021 sollten wir genügend User haben, um für Product Placement Partner, Medien-Partner, Online-Shops und Drittanbieter interessant genug zu sein. 
- Ab diesem Zeitpunkt werden diese Anbieter auf ihre eigenen Leistungen in connect hinweisen und dadurch indirekt für uns Werbung machen. Primär gilt dies natürlich für Drittanbieter und verknüpfte Online-Shops, Medien-Berichterstattung wird unter 1.3 extra angeführt und Product Placement Partner werden weniger aktiv sein.</t>
        </r>
      </text>
    </comment>
    <comment ref="B7" authorId="0">
      <text>
        <r>
          <rPr>
            <b/>
            <sz val="9"/>
            <color indexed="81"/>
            <rFont val="Tahoma"/>
            <family val="2"/>
          </rPr>
          <t>Michael Schöggl:</t>
        </r>
        <r>
          <rPr>
            <sz val="9"/>
            <color indexed="81"/>
            <rFont val="Tahoma"/>
            <family val="2"/>
          </rPr>
          <t xml:space="preserve">
</t>
        </r>
        <r>
          <rPr>
            <b/>
            <sz val="9"/>
            <color indexed="81"/>
            <rFont val="Tahoma"/>
            <family val="2"/>
          </rPr>
          <t xml:space="preserve">Von wievielen neuen Usern durch die Werbung unserer Partner </t>
        </r>
        <r>
          <rPr>
            <sz val="9"/>
            <color indexed="81"/>
            <rFont val="Tahoma"/>
            <family val="2"/>
          </rPr>
          <t>(u.a. Online-Shopping, VR-Shops, Drittanbieter, etc.)</t>
        </r>
        <r>
          <rPr>
            <b/>
            <sz val="9"/>
            <color indexed="81"/>
            <rFont val="Tahoma"/>
            <family val="2"/>
          </rPr>
          <t xml:space="preserve"> gehen wir zu Beginn aus?</t>
        </r>
        <r>
          <rPr>
            <sz val="9"/>
            <color indexed="81"/>
            <rFont val="Tahoma"/>
            <family val="2"/>
          </rPr>
          <t xml:space="preserve"> (danach nur noch prozentuale Steigerung)
</t>
        </r>
        <r>
          <rPr>
            <u/>
            <sz val="9"/>
            <color indexed="81"/>
            <rFont val="Tahoma"/>
            <family val="2"/>
          </rPr>
          <t>Begründung für diesen Wert:</t>
        </r>
        <r>
          <rPr>
            <sz val="9"/>
            <color indexed="81"/>
            <rFont val="Tahoma"/>
            <family val="2"/>
          </rPr>
          <t xml:space="preserve">
- Im Gegenzug zu günstigeren Konditionen könnten unsere Partner indirekt für uns werben (z.B. indem sie darauf hinweisen, dass ihre Produkte auch in einem VR-Shop - erreichbar z.B. über connect - gekauft werden können). 
- Drittanbieter werden automatisch auf uns verweisen müssen, um ihre Inhalte verkaufen zu können. 
- Wenn connect erfolgreich wird, werden ähnlich wie bei anderen Netzwerken viele Unternehmen in ihrem Erfolg von uns abhängig - somit werden wir automatisch auch zum Thema von Gesprächen oder Öffentlichkeitsarbeit etc. gemacht.
- Wir rechnen ohnehin erst ab 2021 mit Partnern (auch wenn es bereits fast ein Dutzend konkrete Interessenten gibt), bis dahin ist ein Startwert von 100 sehr realistisch.
- Dieser Wert hast praktisch keine Bedeutung, die Steigerung basiert nur auf dem prozentualen Wert, dieser Wert fließt nur insofern ein, dass er jeden Monat als "Fixwert" miteinfließt.</t>
        </r>
      </text>
    </comment>
    <comment ref="C7" authorId="0">
      <text>
        <r>
          <rPr>
            <b/>
            <sz val="9"/>
            <color indexed="81"/>
            <rFont val="Tahoma"/>
            <family val="2"/>
          </rPr>
          <t xml:space="preserve">Michael Schöggl:
</t>
        </r>
        <r>
          <rPr>
            <sz val="9"/>
            <color indexed="81"/>
            <rFont val="Tahoma"/>
            <family val="2"/>
          </rPr>
          <t xml:space="preserve">
</t>
        </r>
        <r>
          <rPr>
            <b/>
            <sz val="9"/>
            <color indexed="81"/>
            <rFont val="Tahoma"/>
            <family val="2"/>
          </rPr>
          <t>Um wieviel Prozent der aktuellen Userzahl steigen die neuen User durch Medienberichte pro Monat?</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mehr Partner haben wir und umso stärker kommen wir automatisch ins Gespräch oder rücken in die Öffentlichkeit. 
- Vor allem Drittanbieter und VR-Shops sind von uns abhängig, wenn sie für die eigenen Angebote werben wollen, müssen sie indirekt auch für uns werben. Denn kaum ein User lädt eine eigene App herunter, um z.B. im VR-Shop eines regionalen Unternehmens (das er nicht einmal kennt) virtuell einkaufen gehen zu können.
- Ein Wachstum von 0,4 % pro Monat entspricht knapp 5 % Wachstum der gesamten Userzahl pro Jahr aufgrund der indirekten Werbung unserer Partner.
- Wenn Drittanbieter Inhalte anbieten (z.B. virtuelle Haustiere oder alternative VR-Szenen wie das Piratenschiff aus Fluch der Karibik), die sich nur in Verbindung mit connect verwenden lassen (was wir durch Exklusiv-Verträge steigern können), dann muss sich jeder, der diese Inhalte will, zuvor connect holen.</t>
        </r>
      </text>
    </comment>
    <comment ref="A8"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Für eine realistische Einschätzung der Userzahlen-Entwicklung müssen wir von einer Sättigung der Zielgruppe ausgehen, bzw. von einer Zielgruppen-Obergrenze. </t>
        </r>
        <r>
          <rPr>
            <sz val="9"/>
            <color indexed="81"/>
            <rFont val="Tahoma"/>
            <family val="2"/>
          </rPr>
          <t xml:space="preserve">
</t>
        </r>
        <r>
          <rPr>
            <u/>
            <sz val="9"/>
            <color indexed="81"/>
            <rFont val="Tahoma"/>
            <family val="2"/>
          </rPr>
          <t>Wir verwenden 2 Werte</t>
        </r>
        <r>
          <rPr>
            <sz val="9"/>
            <color indexed="81"/>
            <rFont val="Tahoma"/>
            <family val="2"/>
          </rPr>
          <t xml:space="preserve">:
- maximale Zielgruppe bis Ende 2020: Primär VR-User (und Gamer für die 3D-Nutzung), weil sich unser Marketing auf diese Zielgruppe konzentriert; natürlich können wir aber auch darüber hinaus Menschen ansprechen.
- maximale Zielgruppe ab 2021: Alle Social Media bzw. Network und Messenger Nutzer, jedoch nur jene, für die connect - auch OHNE den virtuellen Raum - einen ausreichend großen Mehrwert bietet (Multi-Messenger, Datenschutz, Multimedia, Geräteunabhängigkeit, etc.), schließlich haben wir Konkurrenz und unser Produkt wird selbst dann, wenn wir alles individualisierbar machen und verschiedene Versionen rausbringen, niemals alle Menschen ansprechen können
</t>
        </r>
        <r>
          <rPr>
            <u/>
            <sz val="9"/>
            <color indexed="81"/>
            <rFont val="Tahoma"/>
            <family val="2"/>
          </rPr>
          <t>Erklärung zu den Auswirkungen dieser Werte</t>
        </r>
        <r>
          <rPr>
            <sz val="9"/>
            <color indexed="81"/>
            <rFont val="Tahoma"/>
            <family val="2"/>
          </rPr>
          <t xml:space="preserve">:
- Die Berechnung erfolgt so, dass je stärker sich unsere Userzahlen diesen Grenzwerten nähern, die Akquise neuer User umso unwahrscheinlicher wird.
- Bei 0 Usern und einer Grenze von 300, ist die Akquise-Rate bei 100%. 
- Bei 200 Usern und einer Grenze von 300, ist sie nur noch bei 0,33%.
- Alle Wachstumswerte (bis auf die negativen Absprünge, siehe 1.11) sind von diesem Multiplikator betroffen und sinken entsprechend der Annäherung zur Zielgruppen-Obergrenze immer stärker Richtung 0.
- Diese Berechnungen sind absichtlich sehr vorsichtig und limitierend. Eigentlich wächst der VR Markt laut Prognosen stark an und genau genommen könnten wir langfristig durchaus 2 Milliarden Menschen, bzw. bereits 2021 eine Zielgruppe abseits der VR-User erreichen. Aber unsere Werte sind zu gut um glaubwürdig zu sein, wenn sie nicht mit so einer Obergrenze gebremst werden, daher dieses Korrektiv.
</t>
        </r>
      </text>
    </comment>
    <comment ref="B8" authorId="0">
      <text>
        <r>
          <rPr>
            <b/>
            <sz val="9"/>
            <color indexed="81"/>
            <rFont val="Tahoma"/>
            <family val="2"/>
          </rPr>
          <t xml:space="preserve">Michael Schöggl:
Wie groß ist unsere </t>
        </r>
        <r>
          <rPr>
            <b/>
            <i/>
            <sz val="9"/>
            <color indexed="81"/>
            <rFont val="Tahoma"/>
            <family val="2"/>
          </rPr>
          <t>primäre</t>
        </r>
        <r>
          <rPr>
            <b/>
            <sz val="9"/>
            <color indexed="81"/>
            <rFont val="Tahoma"/>
            <family val="2"/>
          </rPr>
          <t xml:space="preserve"> Zielgruppe, die wir bis Ende 2020 erreichen können? - </t>
        </r>
        <r>
          <rPr>
            <b/>
            <u/>
            <sz val="9"/>
            <color indexed="81"/>
            <rFont val="Tahoma"/>
            <family val="2"/>
          </rPr>
          <t>Bezogen auf Werbezugänge und Medienberichte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Zu Beginn Fokus auf VR-User, weil wir diesen den größten Mehrwert bieten und Gamer eine sehr dankbare, zahlkräftige Zielgruppe sind. 2019 sind das mindestens 10 Millionen User weltweit, die wir über unsere aktuell unterstützten Geräte (Android, HTC Vive, Oculus) und Plattformen (Play Store und Steam) erreichen können.
- Bis Mitte 2020: Fertigstellung der "connect Basic"-Version, d.h. einer nativen Android und iOS Version von connect, die dieselben Funktionen umfasst, aber in einem simplen 2D-Design (vlg. WhatsApp und Co). Diese Version unterstützt dann wirklich alle Smartphones und läuft genauso schnell, wie WhatsApp und Co, mit Fokus auf Multi-Messenger, Multimedia und Verschlüsselung zielt sie auf den konservativeren, weniger verspielten Massenmarkt ab, bis VR sich endgültig durchgesetzt hat.
- Bis Mitte 2020: Fertigstellung der PlayStation-Version und der iOS-Version.
- Bis Ende 2020: Fertigstellung des Multi-Messengers für alle Geräte (inklusive PlayStation und iOS) und alle größeren Netzwerke (u.a. zusätzlich WhatsApp, WeChat, Snapchat, Skype, Twitter, Instagram etc.). 
- Ab 2021 Fokus auf neue Zielgruppe: alle Social Network / Messenger-User weltweit; bis dahin haben wir genug Funktionen (z.B. Multi-Messenger) und Inhalte (z.B. Medien-Inhalte der Partner) um auch den Massenmarkt anzusprechen. Unsere bisherigen VR-/3D-User werden als treue Fans zu Mundpropaganda motiviert (siehe 1.7 bis 1.9).
</t>
        </r>
      </text>
    </comment>
    <comment ref="C8" authorId="0">
      <text>
        <r>
          <rPr>
            <b/>
            <sz val="9"/>
            <color indexed="81"/>
            <rFont val="Tahoma"/>
            <family val="2"/>
          </rPr>
          <t>Michael Schöggl:</t>
        </r>
        <r>
          <rPr>
            <sz val="9"/>
            <color indexed="81"/>
            <rFont val="Tahoma"/>
            <family val="2"/>
          </rPr>
          <t xml:space="preserve">
</t>
        </r>
        <r>
          <rPr>
            <b/>
            <sz val="9"/>
            <color indexed="81"/>
            <rFont val="Tahoma"/>
            <family val="2"/>
          </rPr>
          <t xml:space="preserve">
Wie groß ist unsere </t>
        </r>
        <r>
          <rPr>
            <b/>
            <i/>
            <sz val="9"/>
            <color indexed="81"/>
            <rFont val="Tahoma"/>
            <family val="2"/>
          </rPr>
          <t>primäre</t>
        </r>
        <r>
          <rPr>
            <b/>
            <sz val="9"/>
            <color indexed="81"/>
            <rFont val="Tahoma"/>
            <family val="2"/>
          </rPr>
          <t xml:space="preserve"> Zielgruppe, die wir ab 2020 erreichen können? - </t>
        </r>
        <r>
          <rPr>
            <b/>
            <u/>
            <sz val="9"/>
            <color indexed="81"/>
            <rFont val="Tahoma"/>
            <family val="2"/>
          </rPr>
          <t>Bezogen auf Werbezugänge und Medienberichte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Das internationale Interesse an Social Networks, Social Media, Messenger, VR, neuen Technologien und Apps ist sehr groß, gerade auch was Medienberichte oder die organische Suche im App-Store etc. betrifft. Daher sollte hier genügend "Luft nach oben" für unsere Werbezugänge 1.1 bis 1.4 sein. 
- Wir können langfristig fast allen Medien (Video, Audio, Print, Internet, VR - für praktisch jedes Thema) durch unseren VR-Zugang - bzw. die klassische 2D-Anzeige in einer Multimedia-App - etwas bieten und sie daher auch zur Berichterstattung motivieren.
- Trotzdem werden die Werte realistischer, wenn wir eine Obergrenze von rund 300 Millionen festlegen, da dies ungefähr die Anzahl der Menschen ist, denen connect einen ausreichend großen Mehrwert bietet und die wir mit unserem Design und unseren Funktionen ansprechen. 
- Diese "Bremse" ist aber eigentlich nicht notwendig, denn mit neuen Versionen (z.B. ohne 3D, als klassische 2D-Variante), mehr unterstützten Geräten, maximaler Individualisierbarkeit und zukünftigen, neuen, noch nicht beschriebenen Funktionen können wir unsere Zielgruppe bestimmt schneller weitern, als wir wachsen.</t>
        </r>
      </text>
    </comment>
    <comment ref="J8" authorId="0">
      <text>
        <r>
          <rPr>
            <b/>
            <sz val="9"/>
            <color indexed="81"/>
            <rFont val="Tahoma"/>
            <family val="2"/>
          </rPr>
          <t xml:space="preserve">Michael Schöggl:
</t>
        </r>
        <r>
          <rPr>
            <sz val="9"/>
            <color indexed="81"/>
            <rFont val="Tahoma"/>
            <family val="2"/>
          </rPr>
          <t xml:space="preserve">
Summe neue User durch 1.1 bis 1.4 </t>
        </r>
        <r>
          <rPr>
            <u/>
            <sz val="9"/>
            <color indexed="81"/>
            <rFont val="Tahoma"/>
            <family val="2"/>
          </rPr>
          <t>pro Jahr</t>
        </r>
        <r>
          <rPr>
            <sz val="9"/>
            <color indexed="81"/>
            <rFont val="Tahoma"/>
            <family val="2"/>
          </rPr>
          <t>. Die Werte links davon sind pro Monat und nicht pro Quartal, das hier ist also nicht die Summe der Werte links, sondern das Jahresergebnis.</t>
        </r>
      </text>
    </comment>
    <comment ref="A9" authorId="1">
      <text>
        <r>
          <rPr>
            <b/>
            <sz val="9"/>
            <color indexed="81"/>
            <rFont val="Tahoma"/>
            <family val="2"/>
          </rPr>
          <t xml:space="preserve">e.com:
</t>
        </r>
        <r>
          <rPr>
            <sz val="9"/>
            <color indexed="81"/>
            <rFont val="Tahoma"/>
            <family val="2"/>
          </rPr>
          <t xml:space="preserve">
- Ab Mitte 2020 - wenn connect fertiggestellt ist und seinen versprochenen Mehrwert als geräteunabhängiger Multimessenger, als Multimedia-Zentrum und als VR- bzw. Spiel-Erlebnis beweist - wird auch die Mundpropaganda stark ansteigen. 
- Zu diesem Zeitpunkt wird VR auch ein Trend mit steigendem medialen Interesse sein (u.a. wegen der Offensiven vieler großer Unternehmen und Steven Spielbergs Verfilmung von Ready Player One - das wie eine Vorwegnahme von connect wirkt), was uns in die Hände spielt. 
- Wir rechnen damit, dass jeder User im Laufe eines Jahres im Schnitt genügend anderen Menschen von connect erzählt hat (die Gelegenheit ergibt sich bei Messengern / Social Networks deutlich öfter, als z.B. bei Medikamenten), dass ein weiterer User dadurch gewonnen werden kann. 
- Das ist eine sehr vorsichtige Schätzung. Viele erste VR-User werden Freunden diese neue virtuelle Welt mit Start in connect zeigen (u.a. weil wir eine sehr beeindruckende Grafik und viel Interaktivität und Invididualisierbarkeit haben und jeder gerne zeigt, was er sich "Besonderes" zusammengebaut bzw. erworben hat (z.B. sehr seltene virtuelle Haustiere mit besonderen Kunststücken)).
- Auch der Vergleich mit anderen innovativen Netzwerken wie z.B. Facebook, Twitter oder Instagram zeigt, dass allein durch Mundpropaganda ein Netzwerk auch viel schneller wachsen kann, als in unserer Schätzung. Facebook und Co haben in den ersten Jahren ihre Userzahlen verfünffacht (hier wurden die Absprünge bereits abgezogen) - davon sind unsere Schätzwerte fast um den Faktor 10 entfernt.
- connect ist sehr visuell, lässt sich großartig präsentieren, ist ein Trend-Thema, ein Thema, das fast jeden Menschen betrifft oder zumindest Gesprächsstoff gibt (wenngleich auch negativ, um über diese virtuelle Welten zu schimpfen). 
- Wir werden alles tun, um Usern gute Gründe zu geben, connect herzuzeigen, das ist einer der wichtigsten Foki unserer Entwicklung und dieser zeigt sich auch in den nachfolgenden "Marketing-Tricks", mit denen wir die Mundpropaganda nochmals gezielt anheizen und belohnen können (siehe 1.6 bis 1.9 - als Beispiele). </t>
        </r>
      </text>
    </comment>
    <comment ref="B9" authorId="0">
      <text>
        <r>
          <rPr>
            <b/>
            <sz val="9"/>
            <color indexed="81"/>
            <rFont val="Tahoma"/>
            <family val="2"/>
          </rPr>
          <t>Michael Schöggl:</t>
        </r>
        <r>
          <rPr>
            <sz val="9"/>
            <color indexed="81"/>
            <rFont val="Tahoma"/>
            <family val="2"/>
          </rPr>
          <t xml:space="preserve">
</t>
        </r>
        <r>
          <rPr>
            <b/>
            <sz val="9"/>
            <color indexed="81"/>
            <rFont val="Tahoma"/>
            <family val="2"/>
          </rPr>
          <t>Um wieviel Prozent pro Monat wächst unsere Userzahl allein durch Mundpropaganda?</t>
        </r>
        <r>
          <rPr>
            <sz val="9"/>
            <color indexed="81"/>
            <rFont val="Tahoma"/>
            <family val="2"/>
          </rPr>
          <t xml:space="preserve">
</t>
        </r>
        <r>
          <rPr>
            <u/>
            <sz val="9"/>
            <color indexed="81"/>
            <rFont val="Tahoma"/>
            <family val="2"/>
          </rPr>
          <t>Begründung für diesen Wert:</t>
        </r>
        <r>
          <rPr>
            <sz val="9"/>
            <color indexed="81"/>
            <rFont val="Tahoma"/>
            <family val="2"/>
          </rPr>
          <t xml:space="preserve">
- connect spricht eine sehr breite Zielgruppe an, weil es jedes Gerät unterstützt, in 2D, 3D oder VR verwendbar ist und klassische menschliche Grundbedürfnisse (Erhöhung des Sozialstatus, Unterhaltung, Kommunikation, Anerkennung, Aufmerksamkeit, Kontrolle, Sicherheit etc.) befriedigt. Darauf liegt unser Fokus, siehe Businessplan. 
- connect ist neuartig und technisch modern genug, um ein spannendes Thema im Freundeskreis zu sein. Es hebt sich komplett von anderen Netzwerken ab und Menschen zeigen gerne Neuheiten her, anstatt bereits bekannte oder vertraute Dinge.
- Das Interesse an VR wird in den nächsten Monaten mit immer besserer Hardware weiter zunehmen, wir wachsen hier mit. Der gedankliche und damit auch sprachliche Sprung von VR zum virtuellen Zuhause ist nicht weit, zumal wir auch ein Netzwerk für alle VR-Inhalte aufbauen wollen.
- Ein virtuelles Zuhause, virtuelle Haustiere und ein möglichst realistisches VR-Erlebnis sind Themen, die viele Menschen bewegen.
- In connect baut sich der User seine eigene Welt auf und "investiert" in die Erhöhung seines Sozialstatus durch limitierte, besondere Inhalte. Diese will er seinen Freunden zeigen, er will damit angeben.
- Ein Wert von ca. 6 % würde bedeuten, dass im Laufe eines Jahres ein connect User einen weiteren Menschen durch Mundpropaganda für uns gewinnen konnte. Das ist sehr realistisch, weil unsere User viel Zeit in connect verbringen werden (für Spiele, virtuelle Haustiere, Kommunikation, Multimedia und VR-Erlebnisse). Je bedeutsamer connect für die User wird (durch z.B. exklusive Inhalte), umso mehr werden sie es anderen zeigen.</t>
        </r>
      </text>
    </comment>
    <comment ref="C9"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Prozent pro Quartal sinkt/steigt das monatliche Wachstum durch Mundpropaganda?</t>
        </r>
        <r>
          <rPr>
            <sz val="9"/>
            <color indexed="81"/>
            <rFont val="Tahoma"/>
            <family val="2"/>
          </rPr>
          <t xml:space="preserve">
</t>
        </r>
        <r>
          <rPr>
            <u/>
            <sz val="9"/>
            <color indexed="81"/>
            <rFont val="Tahoma"/>
            <family val="2"/>
          </rPr>
          <t>Begründung für diesen Wert:</t>
        </r>
        <r>
          <rPr>
            <sz val="9"/>
            <color indexed="81"/>
            <rFont val="Tahoma"/>
            <family val="2"/>
          </rPr>
          <t xml:space="preserve">
- Umso mehr connect zu bieten hat, umso wahrscheinlicher werden unsere User es ihren Freunden zeigen - und viele besondere Funktionen (z.B. Zugang zu VR-Shops, Avatare, ganze VR-Welten, komplett neue Szenen, neue VR-Haustiere, etc.) werden erst nach und nach hinzukommen, u.a. durch Drittanbieter oder (Medien-)Partner.
- Je größer connect wird, umso "sicherer" fühlen sich Menschen darin, es anderen zu zeigen. Keiner will riskieren, etwas toll zu finden, was unbekannt ist und damit so wirkt, als würde es kaum jemandem gefallen (außer es ist offensichtlich ein Geheimtipp und noch ganz neu). 
- Viele Themen in connect - z.B. VR - sind Trends, die in den nächsten Monaten ansteigen werden.</t>
        </r>
      </text>
    </comment>
    <comment ref="A10" authorId="1">
      <text>
        <r>
          <rPr>
            <b/>
            <sz val="9"/>
            <color indexed="81"/>
            <rFont val="Tahoma"/>
            <family val="2"/>
          </rPr>
          <t xml:space="preserve">e.com
- </t>
        </r>
        <r>
          <rPr>
            <sz val="9"/>
            <color indexed="81"/>
            <rFont val="Tahoma"/>
            <family val="2"/>
          </rPr>
          <t xml:space="preserve">Von connect aus lassen sich bereits jetzt SMS und Faceboo-Nachrichten lesen und schreiben, Mails sind fast abgeschlossen, viele weitere, andere Netzwerke werden in rascher Abfolge (ca. ein Netzwerk pro Monat zu rund 10.000 Euro kosten) folgen. 
- Immer, wenn unsere User den Multimessenger verwenden, um Nachrichten zu schreiben oder Fotos, Videos, Sprachaufzeichnungen, eigenen connect-Sticker, connect-Emoties oder ähnliches in andere Netzwerke zu schicken, wird bei der ersten Nachricht der Anhang "send by connect" andere Menschen auf unser Netzwerk aufmerksam machen. 
- Unser User werden aber auch die geposteten Fotos ihrer Freunde an den Wänden ihres virtuellen Zuhause angezeigt bekommen, die Videos in einem eigenen "Freunde-Video-Kanal" am virtuellen Fernseher und ähnliches. Umgekehrt genauso - die Inhalte aus connect kann man allesamt in andere Netzwerke teilen, z.B. die Links zu Medieninhalten, Screenshots oder Videos (auch in 360 Grad), exklusive Inhalte (wie Haustiere, Spiele, Deko, alternative Szenen etc.). 
- Somit werden connect-fremde Menschen auf unser Netzwerk aufmerksam gemacht, ohne das dies Kosten verursachen würde. 
- Wir rechnen daher selbst bei vorsichtigster Schätzung, dass pro aktivem User im Laufe eines Jahres ein weiterer dazu kommt. Mit etwas "Glück" (richtiges Thema zum richtigen Zeitpunkt, etc.) könnte jeder User sogar hunderte Freunde auf connect aufmerksam machen, indem er ganz einfach connect-Inhalte (wie z.B. 360-Grad-Videos) z.B. auf Facebook teilt. 
- Punkt 1.6 beschreibt, dass wir dieses für uns nützliche Verhalten gezielt fördern und belohnen werden (z.B. durch Wettbewerbe), um diesen kostenlosen Zugang maximal auszunutzen. Wie schnell ein Thema viral werden kann und um die ganze Welt geht, haben genügend andere bewiesen - unser Ziel ist es, diese Mechanismen so gut wie möglich zu kopieren und automatisieren. 
- Der Multimessenger ist hierbei so nützlich, dass fast jeder User ihn immer wieder verwenden wird, selbst, wenn er ansonsten sich mit Postings etc. eher zurückhält. </t>
        </r>
      </text>
    </comment>
    <comment ref="B10" authorId="0">
      <text>
        <r>
          <rPr>
            <b/>
            <sz val="9"/>
            <color indexed="81"/>
            <rFont val="Tahoma"/>
            <family val="2"/>
          </rPr>
          <t>Michael Schöggl:</t>
        </r>
        <r>
          <rPr>
            <sz val="9"/>
            <color indexed="81"/>
            <rFont val="Tahoma"/>
            <family val="2"/>
          </rPr>
          <t xml:space="preserve">
</t>
        </r>
        <r>
          <rPr>
            <b/>
            <sz val="9"/>
            <color indexed="81"/>
            <rFont val="Tahoma"/>
            <family val="2"/>
          </rPr>
          <t>Um wieviel Prozent pro Monat steigt die Anzahl unserer User durch unseren Multimessenger-Anhang "sent by connect"?</t>
        </r>
        <r>
          <rPr>
            <sz val="9"/>
            <color indexed="81"/>
            <rFont val="Tahoma"/>
            <family val="2"/>
          </rPr>
          <t xml:space="preserve">
</t>
        </r>
        <r>
          <rPr>
            <u/>
            <sz val="9"/>
            <color indexed="81"/>
            <rFont val="Tahoma"/>
            <family val="2"/>
          </rPr>
          <t>Begründung für diesen Wert:</t>
        </r>
        <r>
          <rPr>
            <sz val="9"/>
            <color indexed="81"/>
            <rFont val="Tahoma"/>
            <family val="2"/>
          </rPr>
          <t xml:space="preserve">
- Dieser Zugang bezieht sich nicht nur auf den Text-Anhang "sent by connect" sondern ganz speziell auch darauf, dass unsere User z.B. connect-Inhalte wie dessen Sticker, Screenshots, Medien-Inhalte etc. in andere Netzwerke wie z.B. Facebook schicken können. Je "verknüpfter" connect ist, umso mehr Aufsehen wird jeder User automatisch in anderen Netzwerken durch die Verwendung erregen.
- Ein Wert von 8,4 % würde bedeuten, dass ein durchschnittlicher connect-User einen weiteren User pro Jahr anlockt, weil er hunderte Nicht-connect-Kontakte monatlich anschreibt (z.B. per Mail, SMS oder FB-Nachricht) und dabei einer neugierig genug wird, um connect selbst auszuprobieren (z.B. aufgrund der Info des connect-Users, dass er mit diesem Multi-Messenger Nachrichten in verschiedene Netzwerke schicken kann oder aufgrund der tollen Sticker, Screenshots (z.B. vom virtuellen Haustier) oder ähnliches).
- Die beste Werbung ist und bleibt persönliche Empfehlung und diese stoßen wir dadurch an, dass der Empfänger einer "sent by connect" Nachricht - vor allem, wenn er von verschiedenen Freunden über verschiedene Netzwerke solche Nachrichten bekommt - irgendwann nachfragen wird, worum es sich hierbei handelt. Und der Sender wird dann - um seinen Selbstwert zu wahren und seine Entscheidung zu rechtfertigen - auch connect positiv beschreiben und z.B. auf den Mehrwert des Multi-Messengers hinweisen. "Was du kennst connect nicht? Lebst du hinterm Mond?"</t>
        </r>
      </text>
    </comment>
    <comment ref="C10"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Prozent pro Quartal sinkt/steigt die monatliche Wachstumsrate von connect durch den Multi-Messenger-Anhang "sent by connect" oder die verschickten Inhalte?</t>
        </r>
        <r>
          <rPr>
            <sz val="9"/>
            <color indexed="81"/>
            <rFont val="Tahoma"/>
            <family val="2"/>
          </rPr>
          <t xml:space="preserve">
</t>
        </r>
        <r>
          <rPr>
            <u/>
            <sz val="9"/>
            <color indexed="81"/>
            <rFont val="Tahoma"/>
            <family val="2"/>
          </rPr>
          <t>Begründung für diesen Wert:</t>
        </r>
        <r>
          <rPr>
            <sz val="9"/>
            <color indexed="81"/>
            <rFont val="Tahoma"/>
            <family val="2"/>
          </rPr>
          <t xml:space="preserve">
- Wenn ein User regelmäßig durch die Nachrichten seiner Freunde auf connect aufmerksam gemacht wird, dann kennt er diesen Anhang bereits und somit auch connect. Je später dieser Werbezugang kommt, umso wahrscheinlicher hat der Empfänger bereits Bekanntschaft gemacht und einfach kein Interesse an connect - weshalb dieser Wert negativ ist, der Werbeeffekt also nachlässt. 
- Gegenzurechnen ist, dass unser Multi-Messenger immer mehr andere Netzwerke integrieren wird und damit auch Menschen aus neuen Netzwerken erreicht. Außerdem werden unsere User immer mehr Inhalte über den Multi-Messenger in andere Netzwerke schicken können. Trotzdem: Vorsichtig gedacht wird der Effekt eher rückläufig sein, als anzuwachsen. </t>
        </r>
      </text>
    </comment>
    <comment ref="A11" authorId="1">
      <text>
        <r>
          <rPr>
            <b/>
            <sz val="9"/>
            <color indexed="81"/>
            <rFont val="Tahoma"/>
            <family val="2"/>
          </rPr>
          <t xml:space="preserve">e.com:
</t>
        </r>
        <r>
          <rPr>
            <sz val="9"/>
            <color indexed="81"/>
            <rFont val="Tahoma"/>
            <family val="2"/>
          </rPr>
          <t xml:space="preserve">
- Das Bedürfnis vieler Menschen etwas besonderes zu besitzen oder (virtuelle) Erfolge (z.B. in Spielen) zu erzielen, bzw. ihren Status durch limitierte Besitztümer zu erhöhen, ist - wie Vergleiche mit der ganzen Spielebranche zeigen - gewaltig. 
- Auch innerhalb der connect-User wird es einen großen Anteil jener Nutzer geben, die sich durch limitierte Belohnungen mit Prestige-Wert (z.B. Pokale mit Namensgravur, extrem seltene virtuelle Haustiere, die sich verkaufen, züchten oder tauschen lassen, alternative virtuelle Wohnräume wie das Oval Office oder besondere Deko-Objekte, etc.) dazu motivieren lassen werden, im Zuge eines Wettbewerbs, einer "täglichen Quest", eines "Erfolges", etc. Verhalten zu zeigen, das uns bekannter macht. 
- Bei einem Wettbewerb könnten z.B. die besten 360-Grad-Videos aus dem virtuellen Zuhause (meiste Likes auf FB), die ausgefallenste Individualisierung (z.B. mit eigenen Fotos als Textur, wodurch man z.B. den Boden mit den Gesichtern der Freunde zupflastern kann) oder sogar selbst erstellte neue und öffentlich geteilte Inhalte wie Schriftarten, Klingeltöne, künstlerische Bilder für die virtuelle Wand, Haustier-Fell-Skins oder ähnliches mit Titeln, virtuellen Belohnungen oder "Adjektiven" honoriert werden. 
- Wir bauen dadurch eine Online-Community auf, die auf connect aufmerksam macht, z.B. ganz direkt durch tausende YouTube-Videos. Kürzlich hat ein indonesischer Sänger bei einem Wettbewerb für die 3 besten Cover-Songs innerhalb einer Woche einen Gewinn von 7000 Euro versprochen - und nur wenige Tage später gab es mehrere tausend Covers von ihm. Unsere Belohnungen werden durch die Rarität für manche User einen enormen Wert haben, ohne für uns relevante Kosten dazustellen. </t>
        </r>
      </text>
    </comment>
    <comment ref="A12" authorId="1">
      <text>
        <r>
          <rPr>
            <b/>
            <sz val="9"/>
            <color indexed="81"/>
            <rFont val="Tahoma"/>
            <family val="2"/>
          </rPr>
          <t xml:space="preserve">e.com:
</t>
        </r>
        <r>
          <rPr>
            <sz val="9"/>
            <color indexed="81"/>
            <rFont val="Tahoma"/>
            <family val="2"/>
          </rPr>
          <t xml:space="preserve">
- Wir werden ganz direkt das Teilen unserer Werbevideos auf Facebook und Co, sowie das Werben von Freunden mit stark limitierten virtuellen Besitztümern belohnen. 
- Diese sind nur eine bestimmte Zeit lang verfügbar (z.B. einen Monat), danach gibt es eine neue Belohnung, um denselben User zu motivieren, einen weiteren Freund anzuwerben. 
- Diese Belohnungen sind tauschbar, verkaufbar und könnten auch "sammelbare" Sets bilden (z.B. das Haustier "Eulenbaby" in den verschiedensten Farben/Fellen, damit der Aufwand für uns minimal ist). 
- Jede zu offensichtliche oder offensive Werbung kann sich auch negativ auf das Image auswirken, daher ist dieser Zugang nur eine weitere Möglichkeit, wenn die anderen Wege nicht erfolgreich genug sein sollten. </t>
        </r>
      </text>
    </comment>
    <comment ref="A13" authorId="1">
      <text>
        <r>
          <rPr>
            <b/>
            <sz val="9"/>
            <color indexed="81"/>
            <rFont val="Tahoma"/>
            <family val="2"/>
          </rPr>
          <t xml:space="preserve">e.com:
</t>
        </r>
        <r>
          <rPr>
            <sz val="9"/>
            <color indexed="81"/>
            <rFont val="Tahoma"/>
            <family val="2"/>
          </rPr>
          <t xml:space="preserve">
- Wir haben ganz bewusst viele Inhalte in connect geschaffen, die dafür sorgen, dass unsere User in der Öffentlichkeit auffallen werden.
- U.a. sind das realistische Klingeltöne (Münze fällt, Dose öffnen, Schluckauf, Gelsensurren, etc.), die z.B. auf öffentlichen Plätzen oder in den öffentlichen Verkehrsmitteln Aufmerksamkeit erregen. 
- Auch praktisch fertiggestellt ist ein versteckter, virtueller Tresor, der sich durch das Drehen des Smartphones (= Drehen des Drehknaufs) nach vielen Stunden knacken lässt. Manche unserer User werden öffentlich auffallen, gefragt werden und dann (stolz) connect präsentieren. 
- Dieser Zugang kostet uns ebenso wie die bisherigen nur Entwicklungsaufwand und kann mit der Userbasis gewaltig skalieren und schnell für mehr Sichtbarkeit sorgen.
- Es gibt noch rund 5 weitere Tricks, die nun nicht alle aufgezählt werden sollen. 
- Wir wollen es so schwer wie möglich machen, connect zu nutzen, ohne dass regelmäßig andere Menschen darauf aufmerksam werden.
- Fast alle dieser Tricks und Zugänge sowie der Belohnungen sind bereits fertig oder kurz vor Fertigstellung, ihr Effekt wird uns aber kontinuierlich neue User ohne weitere Kosten bringen.</t>
        </r>
      </text>
    </comment>
    <comment ref="A14" authorId="0">
      <text>
        <r>
          <rPr>
            <b/>
            <sz val="9"/>
            <color indexed="81"/>
            <rFont val="Tahoma"/>
            <family val="2"/>
          </rPr>
          <t xml:space="preserve">Michael Schöggl:
</t>
        </r>
        <r>
          <rPr>
            <sz val="9"/>
            <color indexed="81"/>
            <rFont val="Tahoma"/>
            <family val="2"/>
          </rPr>
          <t xml:space="preserve">
</t>
        </r>
        <r>
          <rPr>
            <b/>
            <sz val="9"/>
            <color indexed="81"/>
            <rFont val="Tahoma"/>
            <family val="2"/>
          </rPr>
          <t>Für eine realistische Einschätzung der Userzahlen-Entwicklung müssen wir von einer Sättigung der Zielgruppe ausgehen, bzw. von einer Zielgruppen-Obergrenze</t>
        </r>
        <r>
          <rPr>
            <sz val="9"/>
            <color indexed="81"/>
            <rFont val="Tahoma"/>
            <family val="2"/>
          </rPr>
          <t xml:space="preserve">. 
</t>
        </r>
        <r>
          <rPr>
            <b/>
            <sz val="9"/>
            <color indexed="81"/>
            <rFont val="Tahoma"/>
            <family val="2"/>
          </rPr>
          <t>Wir verwenden 2 Werte:</t>
        </r>
        <r>
          <rPr>
            <sz val="9"/>
            <color indexed="81"/>
            <rFont val="Tahoma"/>
            <family val="2"/>
          </rPr>
          <t xml:space="preserve">
- </t>
        </r>
        <r>
          <rPr>
            <u/>
            <sz val="9"/>
            <color indexed="81"/>
            <rFont val="Tahoma"/>
            <family val="2"/>
          </rPr>
          <t>maximale Zielgruppe bis Ende 2020</t>
        </r>
        <r>
          <rPr>
            <sz val="9"/>
            <color indexed="81"/>
            <rFont val="Tahoma"/>
            <family val="2"/>
          </rPr>
          <t xml:space="preserve">: Primär VR-User (und Gamer für die 3D-Nutzung), weil sich unser Marketing auf diese Zielgruppe konzentriert; natürlich können wir aber auch darüber hinaus Menschen ansprechen.
- </t>
        </r>
        <r>
          <rPr>
            <u/>
            <sz val="9"/>
            <color indexed="81"/>
            <rFont val="Tahoma"/>
            <family val="2"/>
          </rPr>
          <t>maximale Zielgruppe ab 2021</t>
        </r>
        <r>
          <rPr>
            <sz val="9"/>
            <color indexed="81"/>
            <rFont val="Tahoma"/>
            <family val="2"/>
          </rPr>
          <t xml:space="preserve">: Alle Social Media bzw. Network und Messenger Nutzer, jedoch nur jene, für die connect - auch OHNE den virtuellen Raum - einen ausreichend großen Mehrwert bietet (Multi-Messenger, Datenschutz, Multimedia, Geräteunabhängigkeit, etc.), schließlich haben wir Konkurrenz und unser Produkt wird selbst dann, wenn wir alles individualisierbar machen und verschiedene Versionen rausbringen, niemals alle Menschen ansprechen können
</t>
        </r>
        <r>
          <rPr>
            <b/>
            <sz val="9"/>
            <color indexed="81"/>
            <rFont val="Tahoma"/>
            <family val="2"/>
          </rPr>
          <t>Erklärung zu den Auswirkungen dieser Werte:</t>
        </r>
        <r>
          <rPr>
            <sz val="9"/>
            <color indexed="81"/>
            <rFont val="Tahoma"/>
            <family val="2"/>
          </rPr>
          <t xml:space="preserve">
- Die Berechnung erfolgt so, dass je stärker sich unsere Userzahlen diesen Grenzwerten nähern, die Akquise neuer User umso unwahrscheinlicher wird.
- Bei 0 Usern und einer Grenze von 300, ist die Akquise-Rate bei 100%. 
- Bei 200 Usern und einer Grenze von 300, ist sie nur noch bei 0,33%.
- Alle Wachstumswerte (bis auf die negativen Absprünge, siehe 1.11) sind von diesem Multiplikator betroffen und sinken entsprechend der Annäherung zur Zielgruppen-Obergrenze immer stärker Richtung 0.</t>
        </r>
      </text>
    </comment>
    <comment ref="B14" authorId="0">
      <text>
        <r>
          <rPr>
            <b/>
            <sz val="9"/>
            <color indexed="81"/>
            <rFont val="Tahoma"/>
            <family val="2"/>
          </rPr>
          <t xml:space="preserve">Michael Schöggl:
Wie groß ist unsere </t>
        </r>
        <r>
          <rPr>
            <b/>
            <i/>
            <sz val="9"/>
            <color indexed="81"/>
            <rFont val="Tahoma"/>
            <family val="2"/>
          </rPr>
          <t>primäre</t>
        </r>
        <r>
          <rPr>
            <b/>
            <sz val="9"/>
            <color indexed="81"/>
            <rFont val="Tahoma"/>
            <family val="2"/>
          </rPr>
          <t xml:space="preserve"> Zielgruppe, die wir bis Ende 2020 erreichen können? - </t>
        </r>
        <r>
          <rPr>
            <b/>
            <u/>
            <sz val="9"/>
            <color indexed="81"/>
            <rFont val="Tahoma"/>
            <family val="2"/>
          </rPr>
          <t>Bezogen auf Viral-Marketing-Zugänge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Zu Beginn Fokus auf VR-User, weil wir diesen den größten Mehrwert bieten und Gamer eine sehr dankbare, zahlkräftige Zielgruppe sind. 2019 sind das mindestens 10 Millionen User weltweit, die wir über unsere aktuell unterstützten Geräte (Android, HTC Vive, Oculus) und Plattformen (Play Store und Steam) erreichen können.
- Bis Mitte 2020: Fertigstellung der "connect Basic"-Version, d.h. einer nativen Android und iOS Version von connect, die dieselben Funktionen umfasst, aber in einem simplen 2D-Design (vlg. WhatsApp und Co). Diese Version unterstützt dann wirklich alle Smartphones und läuft genauso schnell, wie WhatsApp und Co, mit Fokus auf Multi-Messenger, Multimedia und Verschlüsselung zielt sie auf den konservativeren, weniger verspielten Massenmarkt ab, bis VR sich endgültig durchgesetzt hat.
- Bis Mitte 2020: Fertigstellung der PlayStation-Version und der iOS-Version.
- Bis Ende 2020: Fertigstellung des Multi-Messengers für alle Geräte (inklusive PlayStation und iOS) und alle größeren Netzwerke (u.a. zusätzlich WhatsApp, WeChat, Snapchat, Skype, Twitter, Instagram etc.). 
- Ab 2021 Fokus auf neue Zielgruppe: alle Social Network / Messenger-User weltweit; bis dahin haben wir genug Funktionen (z.B. Multi-Messenger) und Inhalte (z.B. Medien-Inhalte der Partner) um auch den Massenmarkt anzusprechen. Unsere bisherigen VR-/3D-User werden als treue Fans zu Mundpropaganda motiviert (siehe 1.7 bis 1.9).
</t>
        </r>
      </text>
    </comment>
    <comment ref="C14" authorId="0">
      <text>
        <r>
          <rPr>
            <b/>
            <sz val="9"/>
            <color indexed="81"/>
            <rFont val="Tahoma"/>
            <family val="2"/>
          </rPr>
          <t>Michael Schöggl:</t>
        </r>
        <r>
          <rPr>
            <sz val="9"/>
            <color indexed="81"/>
            <rFont val="Tahoma"/>
            <family val="2"/>
          </rPr>
          <t xml:space="preserve">
</t>
        </r>
        <r>
          <rPr>
            <b/>
            <sz val="9"/>
            <color indexed="81"/>
            <rFont val="Tahoma"/>
            <family val="2"/>
          </rPr>
          <t xml:space="preserve">
Wie groß ist unsere </t>
        </r>
        <r>
          <rPr>
            <b/>
            <i/>
            <sz val="9"/>
            <color indexed="81"/>
            <rFont val="Tahoma"/>
            <family val="2"/>
          </rPr>
          <t>primäre</t>
        </r>
        <r>
          <rPr>
            <b/>
            <sz val="9"/>
            <color indexed="81"/>
            <rFont val="Tahoma"/>
            <family val="2"/>
          </rPr>
          <t xml:space="preserve"> Zielgruppe (Multi-Messenger, Social Network, Multimedia), die wir ab 2020 erreichen können? - </t>
        </r>
        <r>
          <rPr>
            <b/>
            <u/>
            <sz val="9"/>
            <color indexed="81"/>
            <rFont val="Tahoma"/>
            <family val="2"/>
          </rPr>
          <t>Bezogen auf Viral-Marketing-Zugänge</t>
        </r>
        <r>
          <rPr>
            <b/>
            <sz val="9"/>
            <color indexed="81"/>
            <rFont val="Tahoma"/>
            <family val="2"/>
          </rPr>
          <t xml:space="preserve">
</t>
        </r>
        <r>
          <rPr>
            <u/>
            <sz val="9"/>
            <color indexed="81"/>
            <rFont val="Tahoma"/>
            <family val="2"/>
          </rPr>
          <t>Begründung für diesen Wert</t>
        </r>
        <r>
          <rPr>
            <sz val="9"/>
            <color indexed="81"/>
            <rFont val="Tahoma"/>
            <family val="2"/>
          </rPr>
          <t>: 
- Siehe Kommentar zur Spalte links: Ab 2021 umfasst connect genügend Inhalte, Medien, Funktionen und Geräte-Unterstützungen, sowie eine simple connect Basic Version ohne 3D/VR, um praktisch alle Social Network / Media bzw. Messenger User weltweit anzusprechen.
- Viele User verwenden mehrere Social Networks oder Messenger parallel zueinander, zudem bietet gerade connect mit dem Multi-Messenger den Vorteil, aus einer App heraus alle anderen Netzwerke verwenden/verwalten zu können. Darum gehen wir von einem weltweiten Markt von mindestens 300 Mio Menschen aus, unanhängig davon, wie erfolgreich oder aktiv die Konkurrenz wie z.B. Facebook ist. 
- Gewissermaßen profitieren wir aufgrund unseres Multi-Messengers sogar von mehr Wettbewerbern bzw. dem Erfolg anderer Messenger und Netzwerke - weil dadurch der Wert von unserer Verschlüsselung / Datenschutz und von unserem Multi-Messenger steigt, schließlich nimmt er "Arbeit" ab, all diese Netzwerke (mit unterschiedlichen Apps und unterschiedlichen Geräteabhängigkeiten) zu betreuen.</t>
        </r>
      </text>
    </comment>
    <comment ref="J14" authorId="0">
      <text>
        <r>
          <rPr>
            <b/>
            <sz val="9"/>
            <color indexed="81"/>
            <rFont val="Tahoma"/>
            <family val="2"/>
          </rPr>
          <t>Michael Schöggl:</t>
        </r>
        <r>
          <rPr>
            <sz val="9"/>
            <color indexed="81"/>
            <rFont val="Tahoma"/>
            <family val="2"/>
          </rPr>
          <t xml:space="preserve">
</t>
        </r>
        <r>
          <rPr>
            <b/>
            <sz val="9"/>
            <color indexed="81"/>
            <rFont val="Tahoma"/>
            <family val="2"/>
          </rPr>
          <t>Summe der monatlichen Steigerungsraten für das gesamte Jahr.</t>
        </r>
        <r>
          <rPr>
            <sz val="9"/>
            <color indexed="81"/>
            <rFont val="Tahoma"/>
            <family val="2"/>
          </rPr>
          <t xml:space="preserve"> 
- Die Werte links davon sind pro Monat und nicht pro Quartal, das hier ist also nicht die Summe der Werte links, sondern das Jahresergebnis.
- Diese Werte sind mit Vorsicht zu genießen, die eigentliche Steigerungsrate pro Jahr ist eine andere, als die einfache Summe der monatlichen Steigerungen.</t>
        </r>
      </text>
    </comment>
    <comment ref="A15" authorId="0">
      <text>
        <r>
          <rPr>
            <b/>
            <sz val="9"/>
            <color indexed="81"/>
            <rFont val="Tahoma"/>
            <family val="2"/>
          </rPr>
          <t>Michael Schöggl:</t>
        </r>
        <r>
          <rPr>
            <sz val="9"/>
            <color indexed="81"/>
            <rFont val="Tahoma"/>
            <family val="2"/>
          </rPr>
          <t xml:space="preserve">
Prozentsatz aller bisherigen User, die innerhalb von diesem einen Monat connect für immer verlassen und daher dauerhaft verloren gehen.
</t>
        </r>
        <r>
          <rPr>
            <u/>
            <sz val="9"/>
            <color indexed="81"/>
            <rFont val="Tahoma"/>
            <family val="2"/>
          </rPr>
          <t>Achtung</t>
        </r>
        <r>
          <rPr>
            <sz val="9"/>
            <color indexed="81"/>
            <rFont val="Tahoma"/>
            <family val="2"/>
          </rPr>
          <t>: Diesen Wert nicht zu hoch einschätzen, weil er sich auf jeden einzelnen Monat bezieht und sich schnell kummuliert. Bei einem Wert von 0,1 würden im Laufe eines Jahres z.B. 72% aller User wieder verloren sein (0,9 hoch 12).</t>
        </r>
      </text>
    </comment>
    <comment ref="B15" authorId="0">
      <text>
        <r>
          <rPr>
            <b/>
            <sz val="9"/>
            <color indexed="81"/>
            <rFont val="Tahoma"/>
            <family val="2"/>
          </rPr>
          <t>Michael Schöggl:</t>
        </r>
        <r>
          <rPr>
            <sz val="9"/>
            <color indexed="81"/>
            <rFont val="Tahoma"/>
            <family val="2"/>
          </rPr>
          <t xml:space="preserve">
</t>
        </r>
        <r>
          <rPr>
            <b/>
            <sz val="9"/>
            <color indexed="81"/>
            <rFont val="Tahoma"/>
            <family val="2"/>
          </rPr>
          <t xml:space="preserve">Wieviel Prozent aller bisherigen User verlassen uns pro Monat? </t>
        </r>
        <r>
          <rPr>
            <sz val="9"/>
            <color indexed="81"/>
            <rFont val="Tahoma"/>
            <family val="2"/>
          </rPr>
          <t xml:space="preserve">
</t>
        </r>
        <r>
          <rPr>
            <u/>
            <sz val="9"/>
            <color indexed="81"/>
            <rFont val="Tahoma"/>
            <family val="2"/>
          </rPr>
          <t>Begründung für diesen Wert</t>
        </r>
        <r>
          <rPr>
            <sz val="9"/>
            <color indexed="81"/>
            <rFont val="Tahoma"/>
            <family val="2"/>
          </rPr>
          <t>: 
- Dieser Wert ist von unglaublicher Bedeutung für unseren Erfolg. Wir tun vieles, um ihn so rasch wie möglich maximal zu senken (u.a. durch Individualisierung, Investments, Aufarbeitung von User-Wünschen, ständig neuen Inhalten von Partner bzw. Medien, spielerische, unterhaltsame Zugänge wie virtuelle Haustiere, etc.). 
- Bis Mitte 2020 wird der Wert sehr hoch sein, weil viele versprochene Funktionen noch nicht fertig sind und die Usability aufgrund offener Baustellen noch zu schlecht. Ab Q3 2020 gilt dann der hier eingetragene Wert.
- Solange dieser Wert niedriger ist (wird), als Summe A und B zusammen, wächst connect.</t>
        </r>
      </text>
    </comment>
    <comment ref="C15"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sinkt/steigt der prozentuale Wert, mit dem jeden Monat bisherige User connect für immer verlassen?</t>
        </r>
        <r>
          <rPr>
            <sz val="9"/>
            <color indexed="81"/>
            <rFont val="Tahoma"/>
            <family val="2"/>
          </rPr>
          <t xml:space="preserve">
</t>
        </r>
        <r>
          <rPr>
            <u/>
            <sz val="9"/>
            <color indexed="81"/>
            <rFont val="Tahoma"/>
            <family val="2"/>
          </rPr>
          <t>Begründung für diesen Wert</t>
        </r>
        <r>
          <rPr>
            <sz val="9"/>
            <color indexed="81"/>
            <rFont val="Tahoma"/>
            <family val="2"/>
          </rPr>
          <t>:
- Umso userfreundlicher connect (durch die Einarbeitung von Feedback) wird, umso weniger User werden uns verlassen.
- Umso mehr Zeit und Energie unsere User in ihr virtuelles Zuhause investiert haben, umso weniger sind sie bereit, diese wieder aufzugeben. 
- Wir fokussieren uns darauf, dem User solche Investitionen abzuverlangen, damit er wie in einer alten Ehe connect die Treue hält. Beispiele: Individualisierung, exklusiv Inhalte wie z.B. Quest- bzw. Erfolgs-Belohnungen, Einkäufe, Wettbewerbs-Preise, Tresor-Inhalte, Tausch-Ergebnisse, connect-eigener Freundeskreis, Chat-Verläufe, gesammelte Kontakte, erstellte Favoriten-Listen bei Multimedia-Anbietern, (selbst gezüchtete und trainierte) seltene, virtuelle Haustiere, Einstellungen, etc.
- connect wird laufend weiterentwickelt und wir haben hunderte coole Ideen für Funktionen bzw. Inhalte, die unsere User nicht missen werden wollen.
- Unser Datenschutz-Image und der Aufbau von Vertrauen werden User abhalten, zur Konkurrenz zu wechseln bzw. connect als DIE Kommunikations- und Medien-Plattform ihrer Wahl zu verlassen.</t>
        </r>
      </text>
    </comment>
    <comment ref="J15" authorId="0">
      <text>
        <r>
          <rPr>
            <b/>
            <sz val="9"/>
            <color indexed="81"/>
            <rFont val="Tahoma"/>
            <family val="2"/>
          </rPr>
          <t>Michael Schöggl:</t>
        </r>
        <r>
          <rPr>
            <sz val="9"/>
            <color indexed="81"/>
            <rFont val="Tahoma"/>
            <family val="2"/>
          </rPr>
          <t xml:space="preserve">
</t>
        </r>
        <r>
          <rPr>
            <b/>
            <sz val="9"/>
            <color indexed="81"/>
            <rFont val="Tahoma"/>
            <family val="2"/>
          </rPr>
          <t xml:space="preserve">Summe der monatlichen Reduktionsraten für das gesamte Jahr. </t>
        </r>
        <r>
          <rPr>
            <sz val="9"/>
            <color indexed="81"/>
            <rFont val="Tahoma"/>
            <family val="2"/>
          </rPr>
          <t xml:space="preserve">
- Die Werte links davon sind pro Monat und nicht pro Quartal, das hier ist also nicht die Summe der Werte links, sondern das Jahresergebnis.
- Diese Werte sind mit Vorsicht zu genießen, die eigentliche Reduktionsrate pro Jahr ist eine andere, als die einfache Summe der monatlichen Reduktionen.</t>
        </r>
      </text>
    </comment>
    <comment ref="V15" authorId="0">
      <text>
        <r>
          <rPr>
            <b/>
            <sz val="9"/>
            <color indexed="81"/>
            <rFont val="Tahoma"/>
            <family val="2"/>
          </rPr>
          <t>Michael Schöggl:</t>
        </r>
        <r>
          <rPr>
            <sz val="9"/>
            <color indexed="81"/>
            <rFont val="Tahoma"/>
            <family val="2"/>
          </rPr>
          <t xml:space="preserve">
- 2% pro Monat (Q4 2022) entspricht 24% pro Jahr. Für 2021 und die darauffolgenden Jahre rechnen wir mit 20% Abwanderung pro Jahr. 
- connect bietet sehr viel, um User dauerhaft zu binden, z.B. durch Datenschutz, Multimessenger (einmal eingerichtet will man nicht mehr darauf verzichten) und jedes Investment, das unsere User tätigen (Einkäufe, Belohnungen, Chat-Verkauf, etc.).
- Um vorsichtig zu schätzen, wollen wir aber auch dauerhaft mit 20% jährlicher Abwanderung rechnen, da es unrealistisch ist, alle User halten zu können.</t>
        </r>
      </text>
    </comment>
    <comment ref="Z15" authorId="0">
      <text>
        <r>
          <rPr>
            <b/>
            <sz val="9"/>
            <color indexed="81"/>
            <rFont val="Tahoma"/>
            <family val="2"/>
          </rPr>
          <t xml:space="preserve">Michael Schöggl:
</t>
        </r>
        <r>
          <rPr>
            <sz val="9"/>
            <color indexed="81"/>
            <rFont val="Tahoma"/>
            <family val="2"/>
          </rPr>
          <t xml:space="preserve">
Wegen der frühen Testversion, bei der noch fast nichts geht und vieles buggt, ist die Absprungrate pro Monat sehr hoch. Der Wert sagt aber nichts über die fertige Version aus, denn eines haben ALLE Menschen gemeinsam: sie wollen keine Software nutzen, die noch nicht funktioniert, die kaum was bringt und die viele Probleme hat. </t>
        </r>
      </text>
    </comment>
    <comment ref="A16" authorId="0">
      <text>
        <r>
          <rPr>
            <b/>
            <sz val="9"/>
            <color indexed="81"/>
            <rFont val="Tahoma"/>
            <family val="2"/>
          </rPr>
          <t>Michael Schöggl:</t>
        </r>
        <r>
          <rPr>
            <sz val="9"/>
            <color indexed="81"/>
            <rFont val="Tahoma"/>
            <family val="2"/>
          </rPr>
          <t xml:space="preserve">
- Diese Wachstumsrate wird absolut berechnet, d.h. das Endergebnis Quartal 2 minus Endergebnis Quartal 1. 
- Die Wachstumsrate umfasst die Summe A, B und die User, die pro Monat connect wieder verlassen.</t>
        </r>
      </text>
    </comment>
    <comment ref="J16" authorId="0">
      <text>
        <r>
          <rPr>
            <b/>
            <sz val="9"/>
            <color indexed="81"/>
            <rFont val="Tahoma"/>
            <family val="2"/>
          </rPr>
          <t>Michael Schöggl:</t>
        </r>
        <r>
          <rPr>
            <sz val="9"/>
            <color indexed="81"/>
            <rFont val="Tahoma"/>
            <family val="2"/>
          </rPr>
          <t xml:space="preserve">
</t>
        </r>
        <r>
          <rPr>
            <b/>
            <sz val="9"/>
            <color indexed="81"/>
            <rFont val="Tahoma"/>
            <family val="2"/>
          </rPr>
          <t>Wachstumsrate insgesamt im Vergleich zum Vorjahr</t>
        </r>
        <r>
          <rPr>
            <sz val="9"/>
            <color indexed="81"/>
            <rFont val="Tahoma"/>
            <family val="2"/>
          </rPr>
          <t xml:space="preserve">
- Dieser Wert ist im Gegensatz zu den Summenwerten darüber aussagekräftiger. 
- Die Summenwerte (oben) ignorieren, dass beim Zusammenzählen einzelner prozentualer Steigerungen das Ausmaß der gesamten Steigerung bis zum ersten Wert verloren geht und unterschätzt wird, weil immer nur kleinere Änderungen gemessen werden. Dadurch sind die Summenwerte oben deutlich kleiner, als die absolute Steigerungsrate von Jahr 1 zu Jahr 2.  
- Da connect erst mit Jahresende 2018 als Testversion veröffentlicht wurde und kaum User hat, macht die Berechnung dieser jährlichen Wachstumsrate für 2020 im Vergleich zu 2019 wenig Sinn.</t>
        </r>
      </text>
    </comment>
    <comment ref="A17"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 ref="J17" authorId="0">
      <text>
        <r>
          <rPr>
            <b/>
            <sz val="9"/>
            <color indexed="81"/>
            <rFont val="Tahoma"/>
            <family val="2"/>
          </rPr>
          <t xml:space="preserve">Michael Schöggl:
</t>
        </r>
        <r>
          <rPr>
            <sz val="9"/>
            <color indexed="81"/>
            <rFont val="Tahoma"/>
            <family val="2"/>
          </rPr>
          <t xml:space="preserve">
Summe aller neuen User in diesem Jahr abzüglich derjenigen, die inaktiv geworden sind.</t>
        </r>
      </text>
    </comment>
    <comment ref="A18"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 ref="J18" authorId="0">
      <text>
        <r>
          <rPr>
            <b/>
            <sz val="9"/>
            <color indexed="81"/>
            <rFont val="Tahoma"/>
            <family val="2"/>
          </rPr>
          <t xml:space="preserve">Michael Schöggl:
</t>
        </r>
        <r>
          <rPr>
            <sz val="9"/>
            <color indexed="81"/>
            <rFont val="Tahoma"/>
            <family val="2"/>
          </rPr>
          <t xml:space="preserve">
Absolute Anzahl aller aktiven User am Ende des Jahres. 
</t>
        </r>
      </text>
    </comment>
    <comment ref="A20" authorId="0">
      <text>
        <r>
          <rPr>
            <b/>
            <sz val="9"/>
            <color indexed="81"/>
            <rFont val="Tahoma"/>
            <family val="2"/>
          </rPr>
          <t>Michael Schöggl:</t>
        </r>
        <r>
          <rPr>
            <sz val="9"/>
            <color indexed="81"/>
            <rFont val="Tahoma"/>
            <family val="2"/>
          </rPr>
          <t xml:space="preserve">
- connect hat viele Geschäftsmodelle, wird seinen Fokus aber ganz klar auf B2C konzentrieren, um erste Einnahmen (ab dem 1. User) zu machen. 
- Wenn wir eine kritische Masse an Usern erreicht haben (ca. 20 bis 100k), werden langsam immer stärker auch B2B-Kunden auf uns aufmerksam.
- B2B wird deutlich höhere Einnahmen erbringen, als B2C.
- Wir konzentrieren uns von Anfang an auf die Akquise von B2B-Kunden, realistischerweise werden unsere Bemühungen aber erst erfolgreich sein, wenn wir mindestens 20.000 User haben. 
- Wir haben aktive Gespräche mit mehr als zwei Dutzend großer internationaler Unternehmen, die Interesse an einer Zusammenarbeit haben und noch ein wenig zögern, weil es noch etwas zu früh ist. U.a. Porsche, A1, Deutsche Telekom, Red Bull, Wirecard (Kooperation bereits zugesagt), Internorm, Canon, Antenne (Kooperation bereits zugesagt), Energie Steiermark, etc.
- Fast alle Unternehmen, mit denen wir bisher in Kontakt kamen, haben mit uns Gespräche geführt und Interesse gezeigt (wir hatten mehr als ein Dutzend Präsentationen). Uns fehlte bisher die Zeit und die Mittel (Mitarbeiter), um offensiver auf weitere Unternehmen zuzugehen.
- Auf Basis dieser Erfahrungen können wir mit hoher Sicherheit annehmen, dass es uns sehr rasch gelingen wird, Unternehmen als Kunden zu gewinnen, sobald unsere Software fertig ist und wir mindestens 20.000 User haben. Keines dieser Unternehmen will zu spät kommen, aber auch keines kann es sich leisten, bereits fixe Zusagen zu machen, solange unser Projekt noch keine/kaum Traktion bewiesen hat.</t>
        </r>
      </text>
    </comment>
    <comment ref="A21" authorId="1">
      <text>
        <r>
          <rPr>
            <b/>
            <sz val="9"/>
            <color indexed="81"/>
            <rFont val="Tahoma"/>
            <family val="2"/>
          </rPr>
          <t>e.com:</t>
        </r>
        <r>
          <rPr>
            <sz val="9"/>
            <color indexed="81"/>
            <rFont val="Tahoma"/>
            <family val="2"/>
          </rPr>
          <t xml:space="preserve">
- Siehe Quelle 06: Bei erfolgreichen Apps gibt der durchschnittliche User pro Jahr für In-App-Einkäufe ca. 76 € aus.
- connect ist kostenlos, aber User können Erweiterungen wie z.B. virtuelle Haustiere (Entchen, Krokodil fertig, Schildkröte, Küken etc. bald), Spiele, neue virtuelle Räume/Orte (z.B. Oval Office, fertig), Deko, Gimmicks (z.B. Wettergerät), virtuelle Geschenke (z.B. Rose, Flugzeug mit beschriftbaren Banner, etc.) kaufen. 
- Erfahrungen bei Spielen zeigen, dass diese Form der Monetarisierung in vielen Fällen höhere Einnahmen bringt, als ein monatliches Abo-System oder der Kaufpreis eines Spieles.
- In connect werden vor allem virtuelle, fotorealistische, alternative Szenen (z.B. Oval Office), dekorative, stark limitierte Erweiterungen und virtuelle Haustiere für hohe Einnahmen sorgen. Der User kauft z.B. ein Ei und es schlüpft meistens ein Entchen daraus, selten ein Krokodilbaby und extrem selten ein Saurierbaby. Jedes Tier gibt es in verschieden häufigen Farben. Viele User werden zahlreiche Eier kaufen, weil sie unbedingt z.B. ein schwarzes Baby-Krokodil wollen, das ihren Sozialstatus unterstreichen soll und besonders rar und wertvoll ist. 
- Auch alternative VR-Szenarien (die fotorealistisch und interaktiv sind), sind für wenige Euro erschwinglich, viele User werden als Sammler einfach alles kaufen, was angebot wird. 
- In dieser Aufstellung rechnen wir mit realistischen 3,5 bis langfristig 10 Euro pro User und Jahr an Einnahmen, aber möglich wären auch 40 Euro oder mehr. connect bietet viel mehr verschiedenartigen Content, als klassische Spiele und die Inhalte sind noch relevanter für den eigenen Sozial-Status (virtuelle, möglichst realistische Welt, die realen Freunde als Bewunderer, statt fremde Spieler, etc.).</t>
        </r>
      </text>
    </comment>
    <comment ref="B21" authorId="0">
      <text>
        <r>
          <rPr>
            <b/>
            <sz val="9"/>
            <color indexed="81"/>
            <rFont val="Tahoma"/>
            <family val="2"/>
          </rPr>
          <t>Michael Schöggl:</t>
        </r>
        <r>
          <rPr>
            <sz val="9"/>
            <color indexed="81"/>
            <rFont val="Tahoma"/>
            <family val="2"/>
          </rPr>
          <t xml:space="preserve">
</t>
        </r>
        <r>
          <rPr>
            <b/>
            <sz val="9"/>
            <color indexed="81"/>
            <rFont val="Tahoma"/>
            <family val="2"/>
          </rPr>
          <t>Wieviel € gibt ein aktiver User im Durchschnitt für In-App-Käufe pro Monat aus?</t>
        </r>
        <r>
          <rPr>
            <sz val="9"/>
            <color indexed="81"/>
            <rFont val="Tahoma"/>
            <family val="2"/>
          </rPr>
          <t xml:space="preserve">
</t>
        </r>
        <r>
          <rPr>
            <u/>
            <sz val="9"/>
            <color indexed="81"/>
            <rFont val="Tahoma"/>
            <family val="2"/>
          </rPr>
          <t>Begründung für diesen Wert</t>
        </r>
        <r>
          <rPr>
            <sz val="9"/>
            <color indexed="81"/>
            <rFont val="Tahoma"/>
            <family val="2"/>
          </rPr>
          <t xml:space="preserve">:
- Wir rechnen mit 0,3 € (Q3 2020) bis 0,93 € (Q4 2022) pro Monat.
- Das sind sehr vorsichtige, pessimistische Schätzwerte, da offizielle Zahlen und Vergleiche mit anderen Apps/Spielen deutlich höhere Durchschnittswerte belegen. Siehe hierzu Quellen 04 bis 08. WeChat ARPU: 35 $.
- connect ist keine reine App, sondern auch als PC- bzw. PlayStation-Version und in VR erhältlich; dadurch können wir mit den deutlich höheren Einnahmen aus der Online-Spiele-Branche rechnen (siehe Quelle 08, im Durchschnitt 20 € pro Jahr). 
- Da connect "hochwertig" ist/wirkt (kein 2D-Handy-Spiel, sondern ein fotorealistischer Raum um mich herum), ist es sehr wahrscheinlich, dass unsere User auch mehr Geld auszugeben bereit sind, um ihr virtuelles Reich zu verbessern.
- Die gekauften Inhalte haben "persönliche Relevanz" (es sind keine Gimmicks für eine Spielfigur, sondern für </t>
        </r>
        <r>
          <rPr>
            <i/>
            <sz val="9"/>
            <color indexed="81"/>
            <rFont val="Tahoma"/>
            <family val="2"/>
          </rPr>
          <t>mein</t>
        </r>
        <r>
          <rPr>
            <sz val="9"/>
            <color indexed="81"/>
            <rFont val="Tahoma"/>
            <family val="2"/>
          </rPr>
          <t xml:space="preserve"> virtuelles Leben / Reich). 
- Durch den Social-Network-Aspekt erhöhen exklusive Inhalte meinen Sozial-Status gegenüber allen Freunden und nicht nur gegenüber anderen, unbekannten Gamern. 
- Viele In-App-Käufe sind tatsächlich nützlich (z.B. funktionelle Updates), es ist leicht, sie als sinnvoll zu betrachten und insofern auch eher Geld dafür auszugeben. Zudem sind es nicht nur spielerische Inhalte, sondern auch Medien- bzw. Erlebnis-Inhalte, deren Kauf kein negatives Image hat und mehr allgemeine Akzeptanz findet.
- Investitionen in Spiele haben nur kurz einen Wert, bald ist das Spiel nicht mehr interessant, die Preise verfallen (siehe Pokemon Go); bei einem sozialen Netzwerk bleiben meine Investments erhalten. 
- connect-Inhalte können verkauft, verschenkt und vertauscht werden, die Inhalte behalten dadurch an Wert. Das gilt für ALLE Freunde, nicht nur für fremde Gamer.
- Allein ein tauschbares, züchtbares interaktives, täuschend realistisches Haustier in VR wie z.B. ein Tigerbaby - dafür (oder für eine komplett neues Zuhause, z.B. einem Star Wars Raumschiff oder auf einem Piratenschiff) sind User eher bereit 1-15 € zu zahlen, als für Futter für einen "Pou" (bitte googlen). 
- Unsere In-App-Käufe sprechen zudem eine viel größere Zielgruppe an (z.B. VR Sex, VR Haustiere oder süße virtuelle Geschenke für Freunde oder nützliche Funktionen), als klassische In-App-Käufe in sehr spezifischen Spielen.
- connect wird eine Geldmaschine und unsere Schätzwerte sind (mittelfristig) lächerlich gering. 
- Ich könnte ein 500-Seiten-Buch darüber schreiben, warum wir viiiiel höhere Einnahmen durch In-App-Einnahmen haben werden, als der Durchschnitt in den zitierten Quellen. Das ist ein Thema, das wir diskutieren sollten.</t>
        </r>
      </text>
    </comment>
    <comment ref="C21" authorId="0">
      <text>
        <r>
          <rPr>
            <b/>
            <sz val="9"/>
            <color indexed="81"/>
            <rFont val="Tahoma"/>
            <family val="2"/>
          </rPr>
          <t>Michael Schöggl:</t>
        </r>
        <r>
          <rPr>
            <sz val="9"/>
            <color indexed="81"/>
            <rFont val="Tahoma"/>
            <family val="2"/>
          </rPr>
          <t xml:space="preserve">
</t>
        </r>
        <r>
          <rPr>
            <b/>
            <sz val="9"/>
            <color indexed="81"/>
            <rFont val="Tahoma"/>
            <family val="2"/>
          </rPr>
          <t>Um wieviel € pro Quartal werden sich die In-App-Ausgaben der User erhöhen lassen?</t>
        </r>
        <r>
          <rPr>
            <sz val="9"/>
            <color indexed="81"/>
            <rFont val="Tahoma"/>
            <family val="2"/>
          </rPr>
          <t xml:space="preserve">
</t>
        </r>
        <r>
          <rPr>
            <u/>
            <sz val="9"/>
            <color indexed="81"/>
            <rFont val="Tahoma"/>
            <family val="2"/>
          </rPr>
          <t>Begründung für diesen Wert</t>
        </r>
        <r>
          <rPr>
            <sz val="9"/>
            <color indexed="81"/>
            <rFont val="Tahoma"/>
            <family val="2"/>
          </rPr>
          <t>:
- Je mehr Inhalte wir anbieten, umso mehr wird auch gekauft. 
- Ist die Hemmschwelle mal gefallen, werden Stammkunden schneller und leichter weitere Käufe tätigen.
- Im Laufe der Quartale sammeln sich "Stammkunden" an, deren Verbundenheit mit connect immer stärker wird. Diese werden einen Sammlerehrgeiz entwickeln und möglichst viel / alles kaufen, was kaufbar ist.
- Wir werden die Anzahl der kaufbaren Inhalte zu Beginn sehr gering und überschaubar halten, damit ein Sammler-Instinkt entstehen kann (wenn es unmöglich ist, alles zu besitzen, wird dieser abgewürgt). Ein Prozentsatz der User wird versuchen alles zu erwerben, was es gibt. Langsam werden wir diese Anzahl steigern, d.h. es kommen mehr neue monatliche Inhalte dazu.
- Je mehr User connect bekommt, umso mehr Motivation entsteht, Freunden etwas zu kaufen und zu schenken (weil mehr Freunde auch connect verwenden).
- Je mehr User connect hat, umso eher werden In-App-Käufe ein positives, sozial angesehenes Image entwickeln. Die Hemmschwelle sinkt, auch deshalb, weil durch die Tauschbarkeit der Items der fiktive Wert nicht so leicht verloren geht.
- Zeitlich begrenzte Kaufmöglichkeiten werden dazu führen, dass manche User ihren Einkauf teurer weiterverkaufen können, weil die Userzahl und damit die Nachfrage gestiegen ist. Solche Strategien können wir nur im Laufe der Zeit entwickeln, wenn wir aber dieses Image der "Wertigkeit" unserer Inhalte erreicht haben, werden auch mehr Menschen Geld ausgeben.
- Der VR-Markt wächst, das Interesse an VR wächst, mehr Prozent unserer User werden VR-Technik verwenden und damit werden auch unsere klassischen VR-In-App-Käufe wie z.B. virtuelle Szenen / Räume / Einrichtungen an Beliebtheit zunehmen.</t>
        </r>
      </text>
    </comment>
    <comment ref="A22" authorId="0">
      <text>
        <r>
          <rPr>
            <b/>
            <sz val="9"/>
            <color indexed="81"/>
            <rFont val="Tahoma"/>
            <family val="2"/>
          </rPr>
          <t>Michael Schöggl:</t>
        </r>
        <r>
          <rPr>
            <sz val="9"/>
            <color indexed="81"/>
            <rFont val="Tahoma"/>
            <family val="2"/>
          </rPr>
          <t xml:space="preserve">
- Im virtuellen Zuhause der User werden alle Objekte Markenprodukte sein und da jedes Objekt eine Funktion hat (z.B. Fotos machen mit der Kamera), wird diese unterschwellige Product Placement Werbung nicht als aufdringlich wahrgenommen.
- Aktuell gibt es 2 Räume mit rund 15 verschiedenen Markenprodukten, langfristig wird der User sein virtuelles Zuhause um zahlreiche Räume erweitern, es wird komplett neue Szenen geben (z.B. eine Bar, um andere User zu treffen, Kino, Stadt, etc.). Dadurch werden immer mehr "Slots" für Markenprodukte geschaffen.
- Der User kann (in seinem eigenen Zuhause) alles individualisieren und wird z.B. regelmäßig neue Kamera-Modelle anzeigen, auch, weil er ein gewisses Interesse daran hat, immer das Neueste virtuell zu besitzen. Dadurch verdienen wir pro Slot und Jahr mehrmals, bei mehreren unterschiedlichen Markenprodukten. 
- Es gibt viele psychologische Gründe (siehe Kommentare bei den Werte), warum diese Form der Werbung effektiver ist, als alle anderen Zugänge, die es aktuell weltweit gibt.
- Der User wird die Möglichkeit haben, sich zu allen Objekten Informationen anzeigen zu lassen, z.B. wo er es um welchen (günstigsten) Preis kaufen kann, wie lang die Lieferung dauert, welche Bewertungen andere gegeben haben und welche technischen Eigenschaften die Objekte haben. Mittelfristig kann er sie direkt über uns bestellen, in Zusammenarbeit mit Amazon / Alibaba bzw. längerfristig eventuell durch einen eigenen Vertrieb (siehe dazu 2.5 Provision für direkte Online-Einkäufe). </t>
        </r>
      </text>
    </comment>
    <comment ref="B22" authorId="0">
      <text>
        <r>
          <rPr>
            <b/>
            <sz val="9"/>
            <color indexed="81"/>
            <rFont val="Tahoma"/>
            <family val="2"/>
          </rPr>
          <t xml:space="preserve">Michael Schöggl:
Wieviel € pro Monat und User verdienen wir mit Product Placement?
</t>
        </r>
        <r>
          <rPr>
            <u/>
            <sz val="9"/>
            <color indexed="81"/>
            <rFont val="Tahoma"/>
            <family val="2"/>
          </rPr>
          <t>Begründung für diesen Wert</t>
        </r>
        <r>
          <rPr>
            <sz val="9"/>
            <color indexed="81"/>
            <rFont val="Tahoma"/>
            <family val="2"/>
          </rPr>
          <t>:
- Wir werden mindestens folgende Prämien verlangen (die Preise könnten nach genauer Prüfung auch höher angesetzt werden, hier wollen wir mit vielen Experten und Partnern sprechen): 
&gt; 1 hour:      0.15 €/$ 
&gt; 2 hours: + 0.12 €/$ 
&gt; 3 hours: + 0.10 €/$ 
&gt; 4 hours: + 0.08 €/$ 
&gt; 5 hours: + 0.05 €/$
= insgesamt maximal 50 Cent.</t>
        </r>
        <r>
          <rPr>
            <sz val="9"/>
            <color indexed="81"/>
            <rFont val="Tahoma"/>
            <family val="2"/>
          </rPr>
          <t xml:space="preserve">
- Die Werbung ist unterschwellig, nicht aufdringlich, wirkt über Stunden, Tage oder Monate (statt Sekunden), die Objekte sind interaktiv und teilweise lustig, der User gewöhnt sich an sie, baut eine Bindung zu ihnen auf. Die Werbung ist ganz nahe an der Realität (keine abstrakte Verbindung) und wir können das positive Erlebnis mit den Objekten gezielt steuern (durch z.B. lustige, spannende, positive Ereignisse).
- Jeder NEUE Werbezugang trifft zu Beginn auf weniger Abwehr, warum Profis immer nach neuen Zugängen suchen, die noch nicht durch viele Konkurrenten überlaufen sind und beim Kunden zur Sättigung und Abwehr führen. Daher ist unser Werbezugang äußerst effektiv. 
- Der User wird alle Objekte in 3D von allen Seiten bewundern können, kann sie hochheben, neu platzieren. Er kann Materialien austauschen (z.B. bei Möbeln das Funier oder den Bezug wechseln) und sich somit alles so gestalten, wie es ihm gefällt. Die Objekte, die er im Raum hat, werden seinem Geschmack entsprechen (zielgruppenspezifisch) und der User wird seine Entscheidung aufgrund des Bedürfnisses "Recht zu behalten" gegenüber sich und anderen verteidigen, er wird zum Verfechter seiner Wahl. 
- Weitere Infos und Argumente: siehe Wert rechts und Beschreibung links!
</t>
        </r>
      </text>
    </comment>
    <comment ref="C22" authorId="0">
      <text>
        <r>
          <rPr>
            <b/>
            <sz val="9"/>
            <color indexed="81"/>
            <rFont val="Tahoma"/>
            <family val="2"/>
          </rPr>
          <t>Michael Schöggl:</t>
        </r>
        <r>
          <rPr>
            <sz val="9"/>
            <color indexed="81"/>
            <rFont val="Tahoma"/>
            <family val="2"/>
          </rPr>
          <t xml:space="preserve">
</t>
        </r>
        <r>
          <rPr>
            <b/>
            <sz val="9"/>
            <color indexed="81"/>
            <rFont val="Tahoma"/>
            <family val="2"/>
          </rPr>
          <t>Um wieviel Cent pro Quartal werden sich die monatlichen Einnahmen durch Product Placement erhöhen?</t>
        </r>
        <r>
          <rPr>
            <sz val="9"/>
            <color indexed="81"/>
            <rFont val="Tahoma"/>
            <family val="2"/>
          </rPr>
          <t xml:space="preserve">
</t>
        </r>
        <r>
          <rPr>
            <u/>
            <sz val="9"/>
            <color indexed="81"/>
            <rFont val="Tahoma"/>
            <family val="2"/>
          </rPr>
          <t>Begründung für diesen Wert</t>
        </r>
        <r>
          <rPr>
            <sz val="9"/>
            <color indexed="81"/>
            <rFont val="Tahoma"/>
            <family val="2"/>
          </rPr>
          <t xml:space="preserve">:
- Wie im Kommentar der Beschreibung links dargestellt, gibt es zu Beginn rund 15 Slots in den aktuell 2 Räumen, um Markenprodukte anzuzeigen. Unsere VR-Welt wächst, es werden im Laufe der Zeit hunderte Slots werden. Da der User regelmässig seine eigenen Objekte im Raum im Zuge der Individualisierung austauschen wird (z.B. im Schnitt alle 3 Monate die Möbel) und wir bei öffentlichen Räumen (z.B. Bar, Stadt, etc.) gleich verfahren, können wir pro Slot mehrmals pro Jahr mit Einnahmen von unterschiedlichen Partnern rechnen. Jeder Slot wird also mehr bringen, als 50 Cent pro User.
- Wir rechnen hier mit extrem vorsichtigen, bescheidenen Werten. Statistische Daten zeigen, dass User im Durchschnitt mehrere Stunden am Tag aktiv sind, in einem virtuellen Zuhause bzw. einer virtuellen Welt vllt sogar mehr. Je aktiver, umso länger betrachtet er die Product Placement Werbung. 
- Bei 27 Cent pro User und Monat würden wir davon ausgehen, dass der User in diesem Monat nur eines der aktuell 15 Objekte für mehr als 2 Stunden gesehen hat, oder 2 Objekte für jeweils mehr als 1 Stunde (siehe Preisgestaltung im Kommentar links). 
- Natürlich liegen die meisten Objekte direkt im Blick der Standard-Bildschirmausschnitte, die der User regelmäßig verwendet, z.B. am virtuellen Schreibtisch, wo alle Social Network Funktionen zu finden sind. Da die Objekte alle Funktionen haben, werden sie zwangsläufig regelmäßig betrachtet.
- Es ist extrem viel Luft nach oben. Langfristig könnten User pro Monat bei 50 Objekten die Obergrenze von 5 Stunden Betrachtung erreichen, das wären dann 25 € pro MONAT! 
- Zudem sind unsere Preise mehr als moderat und könnten deutlich höher sein, oder angehoben werden (wenn sich immer mehr Unternehmen um unsere Werbung streiten - vgl. Google/Facebook: die Preise sind dann die Höchstgebote). 
- Darum rechnen wir natürlich mit einer Steigerung der Einnahmen pro Quartal, 10 Cent sind sehr pessimistisch und locker zu erreichen. </t>
        </r>
      </text>
    </comment>
    <comment ref="A23" authorId="0">
      <text>
        <r>
          <rPr>
            <b/>
            <sz val="9"/>
            <color indexed="81"/>
            <rFont val="Tahoma"/>
            <family val="2"/>
          </rPr>
          <t xml:space="preserve">Michael Schöggl:
</t>
        </r>
        <r>
          <rPr>
            <sz val="9"/>
            <color indexed="81"/>
            <rFont val="Tahoma"/>
            <family val="2"/>
          </rPr>
          <t xml:space="preserve">
- Ca. 30% Provision an allen Verkäufen.
- Zu Beginn bringt uns dieser Zugang weniger, als unser eigener In-App-Shop unter 2.1, aber je mehr User wir haben, umso mehr Drittanbieter werden Inhalte für connect bauen und umso mehr Kaufmöglichkeiten werden User haben und auch nutzen. 
- Große Unternehmen wie Walt Disney sollen z.B. ihre Welten als VR-Szene bereitstellen - z.B. Star Wars oder Fluch der Karibik. Für solche fotorealistischen, interaktiven VR-Szenen können die Preise deutlich höher sein (ca. 5-10 €), als bei virtuellen Haustieren, Spielen, Gimmicks und Co.</t>
        </r>
      </text>
    </comment>
    <comment ref="B23" authorId="0">
      <text>
        <r>
          <rPr>
            <b/>
            <sz val="9"/>
            <color indexed="81"/>
            <rFont val="Tahoma"/>
            <family val="2"/>
          </rPr>
          <t>Michael Schöggl:</t>
        </r>
        <r>
          <rPr>
            <sz val="9"/>
            <color indexed="81"/>
            <rFont val="Tahoma"/>
            <family val="2"/>
          </rPr>
          <t xml:space="preserve">
</t>
        </r>
        <r>
          <rPr>
            <b/>
            <sz val="9"/>
            <color indexed="81"/>
            <rFont val="Tahoma"/>
            <family val="2"/>
          </rPr>
          <t>Wieviel € pro Monat verdienen wir durch Provision an Drittanbieter-Inhalten?</t>
        </r>
        <r>
          <rPr>
            <sz val="9"/>
            <color indexed="81"/>
            <rFont val="Tahoma"/>
            <family val="2"/>
          </rPr>
          <t xml:space="preserve">
</t>
        </r>
        <r>
          <rPr>
            <u/>
            <sz val="9"/>
            <color indexed="81"/>
            <rFont val="Tahoma"/>
            <family val="2"/>
          </rPr>
          <t>Begründung für diesen Wert</t>
        </r>
        <r>
          <rPr>
            <sz val="9"/>
            <color indexed="81"/>
            <rFont val="Tahoma"/>
            <family val="2"/>
          </rPr>
          <t>:
- Der Start wird sehr bescheiden sein, weil es nur wenige Drittanbieter geben wird. Durch den zweiten Wert (siehe Spalte rechts) wird der Zugewinn an weiteren Drittanbieter dargestellt, durch den dieses Geschäftsmodell sehr schnell an Bedeutung gewinnt.
- Der Wert ist auch deshalb deutlich geringer, als für In-App-Käufe, weil wir nur einen Anteil erhalten, nicht die volle Summe. Wir werden rund 30% an Provision verlangen.</t>
        </r>
      </text>
    </comment>
    <comment ref="C23" authorId="0">
      <text>
        <r>
          <rPr>
            <b/>
            <sz val="9"/>
            <color indexed="81"/>
            <rFont val="Tahoma"/>
            <family val="2"/>
          </rPr>
          <t>Michael Schöggl:</t>
        </r>
        <r>
          <rPr>
            <sz val="9"/>
            <color indexed="81"/>
            <rFont val="Tahoma"/>
            <family val="2"/>
          </rPr>
          <t xml:space="preserve">
</t>
        </r>
        <r>
          <rPr>
            <b/>
            <sz val="9"/>
            <color indexed="81"/>
            <rFont val="Tahoma"/>
            <family val="2"/>
          </rPr>
          <t>Um wieviel € pro Quartal erhöhen sich unsere monatlichen Einnahmen durch Provision für Drittanbieter-Inhalte?</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mehr Drittanbieter werden über uns Inhalte verkaufen (z.B. alternative 3D-Umgebungen, virtuelle Haustiere oder klassische Merchandising-Produkte in VR).
- Die Zahl ist gleich hoch, wie bei In-App-Käufen, stellt aber eine fast dreimal so schnelle Steigerung dar, weil wir nur ca. 30% an Provision von diesen In-App-Inhalten erhalten werden. Wir gehen aber davon aus, dass rund 3/4 aller verfügbaren In-App-Käufe von Drittanbietern stammen werden und diese Einnahmequelle langfristig die Einnahmen durch eigene Inhalte überholen wird. 
- Wir werden nur Inhalte von Partnern zulassen, die höchsten Qualitätsansprüchen genügen und auch nur dann, wenn sie vor der Entwicklung abgesprochen waren. Wir werden es um jeden Preis verhindern, dass mindere Qualität unser Image zerstört, alle Inhalte müssen a.) funktionell und interaktiv, b.) möglichst fotorealistisch c.) preislich fair (d.h. eher günstig, Massenmarkt) sein. 
- Wir wollen auf keinen Fall, dass der Sammler-Instinkt unserer User durch ein Überangebot (noch dazu von schlechter Qualität - wo der Einkauf als unfair empfunden wird und die Zufriedenheit riskiert) zerstört wird. Es soll möglich bleiben, dass ein User alles kauft, was es gibt - ohne dass er dabei mehr als rund 1000 € ausgibt. Besonders seltene Inhalte werden nicht kaufbar sein (sondern z.B. Aufwand bedeuten oder durch Zufall limitiert), da bereits ein einziger kaufbarer Inhalt, der zu teuer ist, den Sammeltick bei fast allen Menschen zerstören würde.
- Geplante maximale Gesamtausgaben (wenn ein User alles kaufbare kauft): 2020: 70 €, 2021: 200 €, 2022: 400 €, ... 2023: 1000 €. Wir wollen, dass möglichst viele Menschen möglichst alles kaufen / sammeln. 
- Wir werden Anreize (Belohnungen, Visualisierungen, Titel etc.) für User schaffen, die alle kaufbaren Inhalte gesammelt haben (ebenso wie alle, die man z.B. durch den Tresor oder durch Erfolge erhalten kann, etc. - aber da wird das Erreichen des Ziels viel schwieriger sein, weshalb viele sich als Ersatz den Erfolg für alle kaufbaren Inhalte holen werden). </t>
        </r>
      </text>
    </comment>
    <comment ref="D23" authorId="0">
      <text>
        <r>
          <rPr>
            <b/>
            <sz val="9"/>
            <color indexed="81"/>
            <rFont val="Tahoma"/>
            <family val="2"/>
          </rPr>
          <t>Michael Schöggl:</t>
        </r>
        <r>
          <rPr>
            <sz val="9"/>
            <color indexed="81"/>
            <rFont val="Tahoma"/>
            <family val="2"/>
          </rPr>
          <t xml:space="preserve">
- Der Schätzwert zu Frage 7 (Einnahmen durch 2.3, 2.4 und 2.5) wird gleichmäßig auf 2.3, 2.4 und 2.5 aufgeteilt. In Wirklichkeit wird die Verteilung zwar ziemlich sicher nicht gleichmäßig sein, aber für das Ergebnis ist das irrelevant.</t>
        </r>
      </text>
    </comment>
    <comment ref="A24" authorId="0">
      <text>
        <r>
          <rPr>
            <b/>
            <sz val="9"/>
            <color indexed="81"/>
            <rFont val="Tahoma"/>
            <family val="2"/>
          </rPr>
          <t>Michael Schöggl:</t>
        </r>
        <r>
          <rPr>
            <sz val="9"/>
            <color indexed="81"/>
            <rFont val="Tahoma"/>
            <family val="2"/>
          </rPr>
          <t xml:space="preserve">
- Wenn User über uns zu VR-Shops vermittelt werden und in diesen einkaufen, verlangen wir zwischen 1 bis 5 % an Provision (der Wert steht noch nicht fest, er soll mit Experten und Partnern besprochen werden). 
- VR-Shops müssen irgendwie an User kommen, diese sind in der Regel zu faul, um extra dafür eine Software runterzuladen, sich anzumelden, auf Gerätekompatibilität zu prüfen, ihre Bezahldaten für jeden Shop extra anzugeben, etc. Daher könnten wir das "Amazon in VR" werden, wir übernehmen diesen Service und verlangen dafür Provision. 
- Wir könnten auch das Erstellen von VR-Shops anbieten, damit diese bestmöglich unseren Anforderungen entsprechen. Allgemein aber ist connect so gestaltet, dass bestmöglich Schnittstellen zu VR-Shops unterstützt. Wir arbeiten mit Unity, einer Game Enigne, mit der rund 70 % der gesamten VR/AR-Software weltweit erstellt wird. Alle Unity-Szenen wären plattformunabhängig und leicht mit uns verknüpfbar. 
- Wir wollen mittelfristig ein Baukasten-System anbieten, mit dem jeder Partner sehr einfach einen VR-Shop in Unity erstellen kann und mit unserem Netzwerk anknüpfen. Dasselbe haben wir für Medien bereits gemacht - dort gibt es bereits eine Online-Plattform für die Verknüpfung aller Video-, Audio-, Print- oder Internet-Medien mit unserem virtuellen Zuhause. Der Aufwand beträgt weniger als 30 Minuten, auch der Aufwand für VR-Shops soll minimalisiert werden. 
- Ein Baukasten könnte den Partnern ermöglichen, dass sie sich sehr schnell einen Shop zusammenbasteln, mit Logos, Einrichtung und Design schmücken und nur noch ihre eigenen, verkaufbaren Produkte als 3D-Modelle einbringen müssen. Diese existieren schon jetzt für die meisten Produkte, weil die "Fotos" auf Amazon keine Fotos sondern 3D-Renderings von 3D-Modellen sind. 
- Wir haben mit einer Vielzahl von internationalen Unternehmen bei Business-Veranstaltungen gesprochen und wissen genau, worauf es ankommt und wie wir hier das einfachste, attraktivste Modell einer Zusammenarbeit gestalten müssen. 
- Auch ohne unseren Baukasten: Wer einen VR-Shop baut, wird gut darin beraten sein, ihn Unity-tauglich zu kreieren, weil er ihn nur so kompatibel mit vielen Plattformen (Hardware) und Netzwerken (Software) gestalten kann. 
- Oculus (Facebook) und Amazon versuchen einen restriktiven Weg zu gehen und eine eigene Enigne für die Erstellung von VR-Inhalten anzubieten (es gibt bisher nur Ankündigungen), aber dann wären alle Partner "gefangen" und abhängig und würden nur über eine Hardware (Oculus Brille) bzw. einen Anbieter (Amazon) ihre Shops anbinden können. Es ist sehr wahrscheinlich, dass es uns gelingt, mehr Partner durch eine nicht restriktive Politik zu gewinnen, weil deren Shops nicht nur mit unserem Produkt funktionieren würden, sondern bei ca. 90% aller Anbieter. Außerdem ist die Enigne Unity mit 12 Jahren Vorsprung viel besser, als die noch unfertigen Neuentwicklungen von Amazon und Facebook. Wir sind hier vergleichbar mit Microsoft bzw. Android (unterstützen möglichst alles) versus Apple bzw. iPhone (restriktive Politik, die von FB und Amazon kopiert wird).</t>
        </r>
      </text>
    </comment>
    <comment ref="B24" authorId="0">
      <text>
        <r>
          <rPr>
            <b/>
            <sz val="9"/>
            <color indexed="81"/>
            <rFont val="Tahoma"/>
            <family val="2"/>
          </rPr>
          <t>Michael Schöggl:</t>
        </r>
        <r>
          <rPr>
            <sz val="9"/>
            <color indexed="81"/>
            <rFont val="Tahoma"/>
            <family val="2"/>
          </rPr>
          <t xml:space="preserve">
</t>
        </r>
        <r>
          <rPr>
            <b/>
            <sz val="9"/>
            <color indexed="81"/>
            <rFont val="Tahoma"/>
            <family val="2"/>
          </rPr>
          <t xml:space="preserve">
Wieviel € werden wir pro Monat an Provision für die Vermittlung unserer User zu VR-Shops erhalten?</t>
        </r>
        <r>
          <rPr>
            <sz val="9"/>
            <color indexed="81"/>
            <rFont val="Tahoma"/>
            <family val="2"/>
          </rPr>
          <t xml:space="preserve">
</t>
        </r>
        <r>
          <rPr>
            <u/>
            <sz val="9"/>
            <color indexed="81"/>
            <rFont val="Tahoma"/>
            <family val="2"/>
          </rPr>
          <t>Begründung für diesen Wert</t>
        </r>
        <r>
          <rPr>
            <sz val="9"/>
            <color indexed="81"/>
            <rFont val="Tahoma"/>
            <family val="2"/>
          </rPr>
          <t xml:space="preserve">:
- Der Wert startet sehr bescheiden, weil zu Beginn (ab 2021) noch wenige VR-Shops an uns angebunden sein werden und auch nur wenige erste Early Adopter User in VR einkaufen werden. 
- Die Steigerung rechts ist deutlich höher (siehe Begründung dafür im Kommentar rechts). 
- Wir werden ca. 2 - 10 % an Provision für Einkäufe, die durch uns vermittelt wurden, verlangen. Dieser Wert soll noch von Experten und in Absprache mit Partnern geprüft und gegebenfalls angepasst werden. 
</t>
        </r>
      </text>
    </comment>
    <comment ref="C24" authorId="0">
      <text>
        <r>
          <rPr>
            <b/>
            <sz val="9"/>
            <color indexed="81"/>
            <rFont val="Tahoma"/>
            <family val="2"/>
          </rPr>
          <t>Michael Schöggl:
Um wieviel € pro Quartal steigern sich unsere monatlichen Einnahmen durch Provision für VR-Shops?</t>
        </r>
        <r>
          <rPr>
            <sz val="9"/>
            <color indexed="81"/>
            <rFont val="Tahoma"/>
            <family val="2"/>
          </rPr>
          <t xml:space="preserve">
</t>
        </r>
        <r>
          <rPr>
            <u/>
            <sz val="9"/>
            <color indexed="81"/>
            <rFont val="Tahoma"/>
            <family val="2"/>
          </rPr>
          <t>Begründung für diesen Wert</t>
        </r>
        <r>
          <rPr>
            <sz val="9"/>
            <color indexed="81"/>
            <rFont val="Tahoma"/>
            <family val="2"/>
          </rPr>
          <t xml:space="preserve">:
- Die ersten Unternehmen, die ihre Waren auch zum Kauf in VR-Shops anbieten, werden allein durch die Neugier der VR-User, die solche Shops mal erleben wollen, eine neue, zusätzliche Zielgruppe erschließen.
- Selbst, wenn das nicht stimmt: kein großes Unternehmen wird es sich leisten können, diesen Markt zu verschlafen. Wer würde schon gerne das Online-Shopping komplett verschlafen? Es gehört beinahe zur Pflicht eines großen Unternehmens, im Zuge der Risikominimierung, möglichst rasch auch einen VR-Shop anzubieten (Beispiele wie Kodak oder Nokia schrecken Manager, die sich gegenüber Aktionären verantworten müssen, ab).
- Die Erstellung eines VR-Shops kostet nicht mehr als ca. 100.000 bis 2 Millionen Euro. Wir könnten solche Auftragsarbeiten auch anbieten, wenn wir wollen! (Nachfrage haben wir bereits mehr als genug erhalten). 
- Das Feedback von mehr als einem Dutzend großer Unternehmen (darunter Porsche, A1, Red Bull, Deutsche Telekom, Wirecard, Casino-Anbieter etc.) war, dass sie ernsthaft an einem VR-Shop interessiert sind, ihn uns in Auftrag geben würden oder bereits selbst daran arbeiten. 
- Auch Statistiken (siehe Quelle 17) belegen, dass viele Unternehmen sehr bald (wir rechnen ab 2021) VR-Shops anbieten werden. Zudem belegen sie (siehe Quelle 5), dass Shopping-Apps im Schnitt pro User rund 2,68 € pro Monat verdienen. 
- Wir haben connect (mit der weitweit größten VR- und Game Engine Unity) so modular und erweiterbar entwickelt, dass unsere App mit möglichst vielen VR-Erlebnissen verknüpft werden kann. Es wird uns leichter, als anderen Mitbewerbern fallen, fast jeden VR-Inhalt (und somit auch Shops) anzubinden. Selbst, wenn das in einigen Fällen nicht automatisch gehen sollte, wäre der Aufwand für ein Unternehmen, ihren Shop für uns anknüpfbar zu machen, sehr gering (3D kann importiert werden und für die Funktionalität des Einkaufens bieten wir eine eigene Lösung an).
- Es ist unser Ziel, connect zum größten VR-Netzwerk der Welt zu entwickeln, also so flexibel erweiterbar, dass möglichst jeder VR-Inhalt mit unserer VR-Welt verbunden werden kann. Wir haben hier sehr viel Zeit und Geld in die Entwicklung eines plattformunabhängigen, modularen Systems gesteckt, das diesen Anforderungen besser als jeder Mitbewerber gerecht werden kann. Details bitte persönlich besprechen. 
- VR-Shopping wird langfristig einen ähnlich großen Markt wie Online-Shopping erzielen und wenn es uns gelingt, DIE Anlaufstelle für VR-Shops zu werden, um an neue Kunden zu kommen, dann wird dieses Geschäftsmodell mit Abstand alle übrigen (ohnehin bereits sehr lukrativen) in den Schatten stellen. 
- Kein Mensch lädt eine eigene Software herunter, registriert sich extra, stellt Bezahlmöglichkeiten ein, kümmert sich um Updates, Patches und Geräteinkompatibilitäten, nur, um Zugang zu einem VR-Shop zu erhalten, dessen Anbieter er nicht einmal kennt. Die User müssen komplett ohne Aufwand auf die Idee gebracht werden, dass es diese Produkte in VR zu kaufen gibt und sie ihrem Interesse entsprechen. Sie laufen durch eine virtuelle Stadt, wo jene Shops, die sie speziell interessieren, instanziert werden, oder sie bekommen Vorschläge am virtuellen Fernseher (wie TV-Sender) und teleportieren sich rein.
- Jeder Anbieter eines VR-Shops wird auf eine Vermittlung wie die unsere angewiesen sein, um an Kunden zu kommen. Menschen kaufen auch lieber bei Amazon ein, als den Online-Shop eines unbekannten kleines Anbieters zu suchen, zu finden und sich dort anzumelden. In VR ist der Aufwand noch viel höher, weil eine 3D-Shop-Umgebung manuell heruntergeladen und installiert werden müsste, anstatt über uns automatisch verknüpft zu werden.
- Eine Steigerung um rund 10 Cent pro Quartal ist realistisch, das entspräche bei 5% Provision einem Anwachsen der durchschnittlichen monatlichen Shopping-Ausgaben um 2 € (bzw. 8 € pro Jahr). Verglichen mit den Einkünften durch Online-Shopping, ist das sehr vorsichtig.
- VR-Shops haben werden langfristig deutlich beliebter sein, als Online-Shops, weil der User seine Einkäufe an seinem virtuellen Avatar (Spielfigur) in fotorealistischer Grafik erproben kann. Z.B. sammelt eine Frau hunderte virtuelle Schuhe aus VR-Shops in ihrem virtuellen Zuhause, probiert diese mit ihrem Avatar (der aussieht, wie sie) an und bestellt ihre Lieblingsschuhe dann direkt über connect bzw. den angebundenen VR-Shop. Darüber kann jedes Produkt in VR von allen Seiten betrachtet werden und der User kann damit interagieren, z.B. Kamera-Funktionen ausprobieren oder aus verschiedenen Modellen wählen (z.B. verschiedene Materialien, Farben etc.). Die VR-Welt ist auch übersichtlicher und virtuell erprobte Produkte lassen sich in VR Freunden zeigen, was zu Feedback und Bestätigung ("Ja, das Kleid steht dir!") führt. </t>
        </r>
      </text>
    </comment>
    <comment ref="D24" authorId="0">
      <text>
        <r>
          <rPr>
            <b/>
            <sz val="9"/>
            <color indexed="81"/>
            <rFont val="Tahoma"/>
            <family val="2"/>
          </rPr>
          <t>Michael Schöggl:</t>
        </r>
        <r>
          <rPr>
            <sz val="9"/>
            <color indexed="81"/>
            <rFont val="Tahoma"/>
            <family val="2"/>
          </rPr>
          <t xml:space="preserve">
- Der Schätzwert zu Frage 7 (Einnahmen durch 2.3, 2.4 und 2.5) wird gleichmäßig auf 2.3, 2.4 und 2.5 aufgeteilt. In Wirklichkeit wird die Verteilung zwar ziemlich sicher nicht gleichmäßig sein, aber für das Ergebnis ist das irrelevant.</t>
        </r>
      </text>
    </comment>
    <comment ref="A25" authorId="0">
      <text>
        <r>
          <rPr>
            <b/>
            <sz val="9"/>
            <color indexed="81"/>
            <rFont val="Tahoma"/>
            <family val="2"/>
          </rPr>
          <t>Michael Schöggl:</t>
        </r>
        <r>
          <rPr>
            <sz val="9"/>
            <color indexed="81"/>
            <rFont val="Tahoma"/>
            <family val="2"/>
          </rPr>
          <t xml:space="preserve">
- Alle Product Placement Objekte in connect sollen ab 2021 auch gekauft werden können. Wir sprechen bereits mit Wirecard bezüglich Bezahlsystem und Kooperation. 
- Eine Zusammenarbeit mit Amazon (für die Logistik) wäre perfekt, ansonsten könnten wir auch nur vermitteln und der Produzent übernimmt selbst den Versand. Wir würden dann direkt zwischen Produzent und Konsument vermitteln, Provision verdienen, den Zwischenhandel ausschalten und den Versand den Unternehmen (oder Amazon) überlassen. 
- Wir rechnen mit 10% an Provision (dieser Richtwert muss erst von Experten geprüft werden, aber wenn der gesamte Zwischenhandel wegfällt und nur der Vertrieb übrig bleibt, sollte das mehr als fair sein).
- Langfristig können praktisch alle Produkte in unserer VR-Welt repräsentiert werden, entweder im virtuellen Zuhause (mit Büro) der User (auch im echten Zuhause lassen sich 95% aller Konsum-Produkte im Zuhause oder Büro finden) oder in Social Places, wie z.B. Bar, Kino, Shop, Stadt, Urlaubsziel etc.
- Vorteil: Im echten Leben wäre es sehr aufwendig, kostspielig und aufgrund mangelnder Informationen kaum schaffbar, genau jene Produkte, die unsere User interessieren, dort virtuell zu platzieren, wo sie schnell und unaufdringlich wahrgenommen werden. In VR ist das kinderleicht. 
- Die Objekte hätten dieselbe Funktion wie im realen Leben (damit der Zugang spielerisch ist und der User häufig interagiert) und der User könnte frei entscheiden, welche Produkte auftauchen dürfen (bzw. er direkt selbst auswählt und platziert) und welche nicht (damit es keine aufdringliche Werbung ist - gilt natürlich nicht für Social Places).
- User richten ihr virtuelles Zuhause mit virtuellen Gegenständen ein, die sie jederzeit direkt bestellen können - oder sie können in connect einstellen, wann welche Markenprodukte automatisch geliefert werden sollen, z.B. wenn das Klopapier ausgeht. Die Darstellung eines Mangels könnte im VR-Zuhause mit dem realen Zuhause übereinstimmen.</t>
        </r>
      </text>
    </comment>
    <comment ref="B25" authorId="0">
      <text>
        <r>
          <rPr>
            <b/>
            <sz val="9"/>
            <color indexed="81"/>
            <rFont val="Tahoma"/>
            <family val="2"/>
          </rPr>
          <t>Michael Schöggl:</t>
        </r>
        <r>
          <rPr>
            <sz val="9"/>
            <color indexed="81"/>
            <rFont val="Tahoma"/>
            <family val="2"/>
          </rPr>
          <t xml:space="preserve">
</t>
        </r>
        <r>
          <rPr>
            <b/>
            <sz val="9"/>
            <color indexed="81"/>
            <rFont val="Tahoma"/>
            <family val="2"/>
          </rPr>
          <t>Wieviel € pro User nehmen wir durch Provision für den Einkauf von Product Placement Produkten innerhalb unserer eigenen VR-Inhalte ein?</t>
        </r>
        <r>
          <rPr>
            <sz val="9"/>
            <color indexed="81"/>
            <rFont val="Tahoma"/>
            <family val="2"/>
          </rPr>
          <t xml:space="preserve">
</t>
        </r>
        <r>
          <rPr>
            <u/>
            <sz val="9"/>
            <color indexed="81"/>
            <rFont val="Tahoma"/>
            <family val="2"/>
          </rPr>
          <t>Begründung für diesen Wert</t>
        </r>
        <r>
          <rPr>
            <sz val="9"/>
            <color indexed="81"/>
            <rFont val="Tahoma"/>
            <family val="2"/>
          </rPr>
          <t>:
- Im Gegensatz zur Provision, wenn User in einem fremden VR-Shop einkaufen, bezieht sich diese Provision auf den Einkauf von Produkten, die direkt in den virtuellen Szenen, die wir selbst anbieten, positioniert waren. 
- Zu Beginn, mit 2021, wird nur ein Teil der Product Placement Partner bereit sein, dieser Erweiterung auf In-App-Käufe zuzustimmen (schließlich müssen wir zeigen, dass sich der Aufwand lohnt). Durch erste Erfolgszahlen werden sich immer mehr überzeugen lassen. Wir rechnen also mit einem langsamen Start. 
- Es ist sehr schwer abzuschätzen, wieviele unserer User direkt über connect einkaufen werden. Über das Internet kaufen Menschen sehr gerne ein, ebenso über Amazon. Wenn es uns gelingen würde, zu einem der beliebtesten Einkaufsorte in VR zu werden, würden wir mit ca. 5-20 € pro User und Jahr (nicht Monat) rechnen können. Realistisch ist jedoch weiteraus weniger:
- Schätzwert 2021: Jeder 100ste User kauft einmal im Jahr über uns ein Produkt um durchschnittlich 100 € (die meisten Produkte, wie Möbel, technische Geräte etc. sind teurer) und wir erhalten 10% Provision daran. Das entspräche nicht ganz 1 Cent pro User und Monat, unser Startwert.</t>
        </r>
      </text>
    </comment>
    <comment ref="C25" authorId="0">
      <text>
        <r>
          <rPr>
            <b/>
            <sz val="9"/>
            <color indexed="81"/>
            <rFont val="Tahoma"/>
            <family val="2"/>
          </rPr>
          <t>Michael Schöggl:</t>
        </r>
        <r>
          <rPr>
            <sz val="9"/>
            <color indexed="81"/>
            <rFont val="Tahoma"/>
            <family val="2"/>
          </rPr>
          <t xml:space="preserve">
</t>
        </r>
        <r>
          <rPr>
            <b/>
            <sz val="9"/>
            <color indexed="81"/>
            <rFont val="Tahoma"/>
            <family val="2"/>
          </rPr>
          <t>Um wieviel € pro Quartal steigern sich die Einnahmen durch Provision für den Verkauf von Produkten direkt innerhalb der connect VR-Umgebung?</t>
        </r>
        <r>
          <rPr>
            <sz val="9"/>
            <color indexed="81"/>
            <rFont val="Tahoma"/>
            <family val="2"/>
          </rPr>
          <t xml:space="preserve">
</t>
        </r>
        <r>
          <rPr>
            <u/>
            <sz val="9"/>
            <color indexed="81"/>
            <rFont val="Tahoma"/>
            <family val="2"/>
          </rPr>
          <t>Begründung für diesen Wert</t>
        </r>
        <r>
          <rPr>
            <sz val="9"/>
            <color indexed="81"/>
            <rFont val="Tahoma"/>
            <family val="2"/>
          </rPr>
          <t>:
- Schätzwert 2021: Jeder 100ste User kauft einmal im Jahr über uns ein Produkt um durchschnittlich 100 € (die meisten Produkte, wie Möbel, technische Geräte etc. sind teurer) und wir erhalten 10% Provision daran. Das entspräche nicht ganz 1 Cent pro User und Monat, unser Startwert.
- Schätzwerte 2024: Jeder 10te User kauft pro Jahr über connect Produkte im Wert von 300 €, wir erhalten 10% Provision. Das entspräche 0,25 € pro User und Monat, unser Zielwert. 
- Langfristig können wir die Einnahmen über dieses Geschäftsmodell deutlich steigern, wenn unsere VR-Welt wächst (also unsere User auch virtuelle Kinokarten, Reisen, Flüge, Gutscheine, Möbel, Geschenke, Dekoration, etc. kaufen) oder wenn wir dieses Geschäftsmodell um Essens-Lieferservices oder Abos für Alltags-Konsumgüter bzw. Lebensmittel erweitern. 
- Beispiel 1: Wir bieten einen eigenen Lieferservice an, bei dem der User auf einer virtuellen Karte am Schreibtisch die Position der Lieferung verfolgen kann. Die Auswahl der Speisen erfolgt über virtuelle Darstellungen derselben (z.B. auf einem Teller am Schreibtisch). Wir bauen ein automatisches System, wo jedes Restaurant sich einfach anmelden kann und wir übernehmen die Lieferung (durch Studenten, die mit einer App den kürzesten Weg angezeigt bekommen und mit dem eigenen Auto für alle Restaurants im Einzugsgebiet gleichermaßen arbeiten). 
- Beispiel 2: Beim virtuellen Kühlschrank stelle ich ein, welche Produkte in welcher Menge im echten Kühlschrank aufzufinden sein sollen - und bevor sie vollständig aufgebraucht werden (oder spätestens danach), wird automatisch Nachschub geliefert. Dasselbe für den Inhalt von Regalen, für Drogerieprodukte, Tierfutter etc.
- Es gibt endlos viele Möglichkeiten, mit einer virtuellen Welt Geld zu verdienen, aber diese langfristigen Ideen (Beispiel 1 und 2) fließen nicht in unsere Prognose ein, dafür sind sie viel zu zukunftsfern. Daher rechnen wir zunächst mit 1 Cent bis knapp 25 Cent pro User und Monat, bzw. mit einer Steigerung um 2 Cent pro Quartal.</t>
        </r>
      </text>
    </comment>
    <comment ref="D25" authorId="0">
      <text>
        <r>
          <rPr>
            <b/>
            <sz val="9"/>
            <color indexed="81"/>
            <rFont val="Tahoma"/>
            <family val="2"/>
          </rPr>
          <t>Michael Schöggl:</t>
        </r>
        <r>
          <rPr>
            <sz val="9"/>
            <color indexed="81"/>
            <rFont val="Tahoma"/>
            <family val="2"/>
          </rPr>
          <t xml:space="preserve">
- Der Schätzwert zu Frage 7 (Einnahmen durch 2.3, 2.4 und 2.5) wird gleichmäßig auf 2.3, 2.4 und 2.5 aufgeteilt. In Wirklichkeit wird die Verteilung zwar ziemlich sicher nicht gleichmäßig sein, aber für das Ergebnis ist das irrelevant.</t>
        </r>
      </text>
    </comment>
    <comment ref="A26" authorId="0">
      <text>
        <r>
          <rPr>
            <b/>
            <sz val="9"/>
            <color indexed="81"/>
            <rFont val="Tahoma"/>
            <family val="2"/>
          </rPr>
          <t>Michael Schöggl:</t>
        </r>
        <r>
          <rPr>
            <sz val="9"/>
            <color indexed="81"/>
            <rFont val="Tahoma"/>
            <family val="2"/>
          </rPr>
          <t xml:space="preserve">
- Medien können ein monatliches Abo bezahlen, um an Big Data Informationen zu kommen.
- Zu Beginn werden nur wenige Medien dieses Abo verwenden, aber je mehr User wir haben, umso mehr Medien werden in connect vertreten sein und umso mehr Medien werden auch diese verhältnismäßig moderaten Kosten gerne bezahlen, um mehr Informationen über ihre Rezipienten zu erhalten. 
- Diese Informationen helfen den Medien, die Werbeerträge zu steigern, weil sie die gewonnenen Informationen auch ihren Werbepartnern weitergeben können. Somit macht sich ein Abo auf jeden Fall schnell bezahlt.
- Wir würden die Kosten so gestalten, dass sie basierend auf Erfahrungswerten den Medien einen netten Gewinn ermöglichen, wenn sie die User-Daten an die Werbepartner weiterverkaufen. 
- Wir rechnen damit, dass jedem Werbepartner die anonymisierten Daten über jeden erreichten Konsumenten rund 0,5 Cent wert sind (also 500 Euro bei 100.000 erreichten Kunden), wir davon 0,2 Cent verlangen können (0,3 Cent gehen an die Medienpartner und motivieren sie zu diesem "Abo") und dass unsere User im Monat rund 50 Werbungen in connect konsumieren. Das bedeutet Einnahmen in Höhe von rund 10 Cent pro User und Monat langfristig. 
</t>
        </r>
      </text>
    </comment>
    <comment ref="B26" authorId="0">
      <text>
        <r>
          <rPr>
            <b/>
            <sz val="9"/>
            <color indexed="81"/>
            <rFont val="Tahoma"/>
            <family val="2"/>
          </rPr>
          <t xml:space="preserve">Michael Schöggl:
Wieviel € pro Monat und User verdienen wir im Schnitt mit unserem Medien-Abo?
</t>
        </r>
        <r>
          <rPr>
            <u/>
            <sz val="9"/>
            <color indexed="81"/>
            <rFont val="Tahoma"/>
            <family val="2"/>
          </rPr>
          <t xml:space="preserve">
Begründung für diesen Wert</t>
        </r>
        <r>
          <rPr>
            <sz val="9"/>
            <color indexed="81"/>
            <rFont val="Tahoma"/>
            <family val="2"/>
          </rPr>
          <t xml:space="preserve">: </t>
        </r>
        <r>
          <rPr>
            <b/>
            <sz val="9"/>
            <color indexed="81"/>
            <rFont val="Tahoma"/>
            <family val="2"/>
          </rPr>
          <t xml:space="preserve">
</t>
        </r>
        <r>
          <rPr>
            <sz val="9"/>
            <color indexed="81"/>
            <rFont val="Tahoma"/>
            <family val="2"/>
          </rPr>
          <t xml:space="preserve">
- Wir rechnen damit, dass jedem Werbepartner die anonymisierten Daten über jeden erreichten Konsumenten rund 0,5 Cent wert sind (also 500 Euro bei 100.000 erreichten Kunden). 
- Davon sind 0,2 Cent für uns und 0,3 Cent gehen an die Medienpartner und motivieren sie zu Abschluss dieses "Abos".
- Unsere User werden im Monat im Schnitt zwischen 50 (Beginn) und 300 (langfristig) Werbbeiträge in Medien (Video, Audio, Internet, Print) konsumieren. Das bedeutet Einnahmen in Höhe von rund 10 bis 60 Cent pro Monat und User. 
- Für unsere Prognose starten wir vorsichtig mit 0,01 €, weil es eine Zeit dauern wird, bis unsere Medienpartner vom Abo überzeugt sind und es genügend Medien-Inhalte in connect gibt, sodass auch genügend Werbung darin enthalten ist, um diese Werte (50 pro Monat) zu erreichen.</t>
        </r>
      </text>
    </comment>
    <comment ref="C26" authorId="0">
      <text>
        <r>
          <rPr>
            <b/>
            <sz val="9"/>
            <color indexed="81"/>
            <rFont val="Tahoma"/>
            <family val="2"/>
          </rPr>
          <t>Michael Schöggl:</t>
        </r>
        <r>
          <rPr>
            <sz val="9"/>
            <color indexed="81"/>
            <rFont val="Tahoma"/>
            <family val="2"/>
          </rPr>
          <t xml:space="preserve">
</t>
        </r>
        <r>
          <rPr>
            <b/>
            <sz val="9"/>
            <color indexed="81"/>
            <rFont val="Tahoma"/>
            <family val="2"/>
          </rPr>
          <t>Um wieviel € pro Quartal werden sich die monatlichen Einnahmen durch das Medien-Abo erhöhen?</t>
        </r>
        <r>
          <rPr>
            <sz val="9"/>
            <color indexed="81"/>
            <rFont val="Tahoma"/>
            <family val="2"/>
          </rPr>
          <t xml:space="preserve">
</t>
        </r>
        <r>
          <rPr>
            <u/>
            <sz val="9"/>
            <color indexed="81"/>
            <rFont val="Tahoma"/>
            <family val="2"/>
          </rPr>
          <t>Begründung für diesen Wert</t>
        </r>
        <r>
          <rPr>
            <sz val="9"/>
            <color indexed="81"/>
            <rFont val="Tahoma"/>
            <family val="2"/>
          </rPr>
          <t>:
- Wir schätzen hier sehr vorsichtig, auch wenn wir langfristig bis zu 60 Cent pro User und Monat durch diesen Zugang einnehmen könnten. 
- Der Erfolg dieses Geschäftsmodells ist viel stärker, als der unserer anderen Einnahmequellen unsicher und schwer durch Vergleiche mit anderen Produkten abschätzbar. Dass ein Freemium-Modell funktioniert, haben tausende Apps bewiesen, ebenso, dass Product Placement funktionieren wird. Big Data hat zwar auch eine erfolgreiche Geschichte, aber in dieser Zugang über ein Abosystem ist relativ neu. 
- Es ist gut möglich, dass wir über dieses Geschäftsmodell deutlich mehr einnehmen können, als nun prognostiziert, aber es ist ebenso gut möglich, dass der Zugang überhaupt nicht funktioniert. Immerhin ist die Medienschnittstelle grundsätzlich kostenlos und ein optionales Abo mit Extrakosten muss sich erst durchsetzen. Der Mehrwert von Big Data Informationen für die Werbetreibenden zuerst und dann in Folge für die Medienpartner müsste erst bewiesen werden.</t>
        </r>
      </text>
    </comment>
    <comment ref="A27" authorId="0">
      <text>
        <r>
          <rPr>
            <b/>
            <sz val="9"/>
            <color indexed="81"/>
            <rFont val="Tahoma"/>
            <family val="2"/>
          </rPr>
          <t>Michael Schöggl:</t>
        </r>
        <r>
          <rPr>
            <sz val="9"/>
            <color indexed="81"/>
            <rFont val="Tahoma"/>
            <family val="2"/>
          </rPr>
          <t xml:space="preserve">
- Sehr langfristig (geplant ab 2021) können wir in der immer größer werdenden connect-Welt (erweitert durch Inhalte von Partnern, Drittanbietern und später vllt sogar der User selbst) auch virtuelle Grundstücke (z.B. an VR-Shops aber auch an User) verkaufen. 
- Ähnliches hat Second Life gemacht und das Interesse für Businesspartner war größer, als der tatsächliche Nutzen. Daher werden nun Business-Partner durch diese Lektion eher vorsichtig sein und es wird etwas dauern, bis sich dieser Zugang durchsetzt. 
- Wir listen hier dieses Geschäftsmodell auf, um bei sehr optimistischen Prognosen Einnahmen darstellen zu können, 
rechnen in einer realistischen Prognose aber nicht damit (0). 
- Zwischen der ersten Facebook Homepage und dem, was Facebook heute ist, besteht ein riesen Unterschied. Und auch connect wird sich bei Erfolg gewaltig weiterentwickeln und bestimmt längerfristig neue Geschäftsmodelle wie jenes des Verkaufs von virtuellen Grundstücken, bezahlten Teleportationen in einer riesigen Welt oder dem Kauf von Avataren (Spielerfiguren) oder deren Ausrüstung eröffnen. Aber es ist zu gewagt, diese Einnahmen jetzt schon unter der Bezeichnung "realistische Prognose" abzuschätzen.</t>
        </r>
      </text>
    </comment>
    <comment ref="B27" authorId="0">
      <text>
        <r>
          <rPr>
            <b/>
            <sz val="9"/>
            <color indexed="81"/>
            <rFont val="Tahoma"/>
            <family val="2"/>
          </rPr>
          <t>Michael Schöggl:</t>
        </r>
        <r>
          <rPr>
            <sz val="9"/>
            <color indexed="81"/>
            <rFont val="Tahoma"/>
            <family val="2"/>
          </rPr>
          <t xml:space="preserve">
</t>
        </r>
        <r>
          <rPr>
            <b/>
            <sz val="9"/>
            <color indexed="81"/>
            <rFont val="Tahoma"/>
            <family val="2"/>
          </rPr>
          <t>Wieviel € könnten wir langfristig mit dem Verkauf von virtuellen Grundstücken, Avataren, Ausrüstungen oder Teleportationen in einer riesigen VR-Welt verdienen?</t>
        </r>
        <r>
          <rPr>
            <sz val="9"/>
            <color indexed="81"/>
            <rFont val="Tahoma"/>
            <family val="2"/>
          </rPr>
          <t xml:space="preserve">
</t>
        </r>
        <r>
          <rPr>
            <u/>
            <sz val="9"/>
            <color indexed="81"/>
            <rFont val="Tahoma"/>
            <family val="2"/>
          </rPr>
          <t>Begründung für diesen Wert</t>
        </r>
        <r>
          <rPr>
            <sz val="9"/>
            <color indexed="81"/>
            <rFont val="Tahoma"/>
            <family val="2"/>
          </rPr>
          <t xml:space="preserve">:
- Zu viele Voraussetzungen, zeitlich zu weit entfernt, zu viele Unsicherheiten, zu wenig Vergleiche - daher gehen wir für die realistische Prognose von 0 Einnahmen aus. </t>
        </r>
      </text>
    </comment>
    <comment ref="C27" authorId="0">
      <text>
        <r>
          <rPr>
            <b/>
            <sz val="9"/>
            <color indexed="81"/>
            <rFont val="Tahoma"/>
            <family val="2"/>
          </rPr>
          <t>Michael Schöggl:</t>
        </r>
        <r>
          <rPr>
            <sz val="9"/>
            <color indexed="81"/>
            <rFont val="Tahoma"/>
            <family val="2"/>
          </rPr>
          <t xml:space="preserve">
</t>
        </r>
        <r>
          <rPr>
            <b/>
            <sz val="9"/>
            <color indexed="81"/>
            <rFont val="Tahoma"/>
            <family val="2"/>
          </rPr>
          <t>Um wieviel € pro Quartal könnten sich die Einnahmen durch den Verkauf von virtuellen Grundstücken, Avataren, Ausrüstungen oder Teleportationen in einer riesigen VR-Welt erhöhen?</t>
        </r>
        <r>
          <rPr>
            <sz val="9"/>
            <color indexed="81"/>
            <rFont val="Tahoma"/>
            <family val="2"/>
          </rPr>
          <t xml:space="preserve">
</t>
        </r>
        <r>
          <rPr>
            <u/>
            <sz val="9"/>
            <color indexed="81"/>
            <rFont val="Tahoma"/>
            <family val="2"/>
          </rPr>
          <t>Begründung für diesen Wert</t>
        </r>
        <r>
          <rPr>
            <sz val="9"/>
            <color indexed="81"/>
            <rFont val="Tahoma"/>
            <family val="2"/>
          </rPr>
          <t xml:space="preserve">:
- Zu viele Annahmen, zeitlich zu weit entfernt, zu viele Unsicherheiten, zu wenig Vergleiche - daher gehen wir für die realistische Prognose von 0 Einnahmen aus. </t>
        </r>
      </text>
    </comment>
    <comment ref="A28" authorId="0">
      <text>
        <r>
          <rPr>
            <b/>
            <sz val="9"/>
            <color indexed="81"/>
            <rFont val="Tahoma"/>
            <family val="2"/>
          </rPr>
          <t>Michael Schöggl:</t>
        </r>
        <r>
          <rPr>
            <sz val="9"/>
            <color indexed="81"/>
            <rFont val="Tahoma"/>
            <family val="2"/>
          </rPr>
          <t xml:space="preserve">
- User werden ab ca. 2022 die Möglichkeit haben, eigene Medien "zu verlegen". Es können sich Gruppen bilden, die gemeinsam einen Fernseh- oder Radiokanal "bespielen", es wird die Möglichkeit geben, themenspezifische Artikel zu schreiben, die dann in virtuellen Zeitungen veröffentlicht werden, etc. 
- Wir überlasses es komplett dem freien Markt, welche neuen Medien mit welchen Inhalten oder Mitarbeitern und welchen Regeln (unentgeltlich, bezahlt, etc.) entstehen. Wir werden einen Baukasten anbieten, damit alle Einstellungen möglich sind - von Bezahlung pro Artikel bis hin zu Systemen, bei denen jeder Medienmitarbeiter abhängig von der Reichweite, Beliebtheit oder Bewertung seiner Beiträge einen Anteil der Werbeeinnahmen erhält.
- Nicht nur, aber vor allem in Video-Medien (Fernsehsender, Videoblog, etc.) werden unsere User bei Interesse Werbung schalten können und damit Geld verdienen können (vgl. YouTube, nur nicht als One-Man-Show, sondern als freies Unternehmen mit automatisierten Regeln). 
- Wir würden einen Anteil der Werbeeinnahmen in Höhe von ca. 30% verlangen. Eventuell sogar deutlich mehr, wie bei YouTube, wo keine/wenig Transparenz herrscht, aber die YouTuber bestimmt deutlich weniger als 70% erhalten. 
- Vergleiche mit YouTube und Co zeigen, dass wir bei starkem Interesse an diesen "frei gewachsenen Medien" auch rund 0,3 bis 2 Euro pro User und Monat einnehmen könnten, aber dieses Geschäftsmodell ist zu weit von der Realisierung entfernt, um in der realistischen Prognose Einnahmen zu erwarten.</t>
        </r>
      </text>
    </comment>
    <comment ref="B28" authorId="0">
      <text>
        <r>
          <rPr>
            <b/>
            <sz val="9"/>
            <color indexed="81"/>
            <rFont val="Tahoma"/>
            <family val="2"/>
          </rPr>
          <t>Michael Schöggl:</t>
        </r>
        <r>
          <rPr>
            <sz val="9"/>
            <color indexed="81"/>
            <rFont val="Tahoma"/>
            <family val="2"/>
          </rPr>
          <t xml:space="preserve">
</t>
        </r>
        <r>
          <rPr>
            <b/>
            <sz val="9"/>
            <color indexed="81"/>
            <rFont val="Tahoma"/>
            <family val="2"/>
          </rPr>
          <t xml:space="preserve">
Wieviel € pro User nehmen wir im Monat durch einen Anteil der Werbeeinnahmen der usergenerierten Medien ein?</t>
        </r>
        <r>
          <rPr>
            <sz val="9"/>
            <color indexed="81"/>
            <rFont val="Tahoma"/>
            <family val="2"/>
          </rPr>
          <t xml:space="preserve">
</t>
        </r>
        <r>
          <rPr>
            <u/>
            <sz val="9"/>
            <color indexed="81"/>
            <rFont val="Tahoma"/>
            <family val="2"/>
          </rPr>
          <t>Begründung für diesen Wert</t>
        </r>
        <r>
          <rPr>
            <sz val="9"/>
            <color indexed="81"/>
            <rFont val="Tahoma"/>
            <family val="2"/>
          </rPr>
          <t>:
- Dieses Geschäftsmodell (vergleichbar mit YouTube bzw. Twitch, nur erweitert auf Audio, Print, Internet, VR und erweitert um ganze Unternehmenstrukturen statt Einzel-Accounts) ist noch zu weit von der Realisierung entfernt (ab 2022), daher gehen wir aktuell von 0 Einnahmen aus.</t>
        </r>
      </text>
    </comment>
    <comment ref="C28" authorId="0">
      <text>
        <r>
          <rPr>
            <b/>
            <sz val="9"/>
            <color indexed="81"/>
            <rFont val="Tahoma"/>
            <family val="2"/>
          </rPr>
          <t>Michael Schöggl:</t>
        </r>
        <r>
          <rPr>
            <sz val="9"/>
            <color indexed="81"/>
            <rFont val="Tahoma"/>
            <family val="2"/>
          </rPr>
          <t xml:space="preserve">
</t>
        </r>
        <r>
          <rPr>
            <b/>
            <sz val="9"/>
            <color indexed="81"/>
            <rFont val="Tahoma"/>
            <family val="2"/>
          </rPr>
          <t>Um wieviel € pro Quartal wird sich der Anteil an den monatlichen Werbeeinnahmen durch usergenerierte Medien erhöhen?</t>
        </r>
        <r>
          <rPr>
            <sz val="9"/>
            <color indexed="81"/>
            <rFont val="Tahoma"/>
            <family val="2"/>
          </rPr>
          <t xml:space="preserve">
</t>
        </r>
        <r>
          <rPr>
            <u/>
            <sz val="9"/>
            <color indexed="81"/>
            <rFont val="Tahoma"/>
            <family val="2"/>
          </rPr>
          <t>Begründung für diesen Wert</t>
        </r>
        <r>
          <rPr>
            <sz val="9"/>
            <color indexed="81"/>
            <rFont val="Tahoma"/>
            <family val="2"/>
          </rPr>
          <t>:
- Dieses Geschäftsmodell (vergleichbar mit YouTube bzw. Twitch, nur erweitert auf Audio, Print, Internet, VR und erweitert um ganze Unternehmenstrukturen statt Einzel-Accounts) ist noch zu weit von der Realisierung entfernt (ab 2022), daher gehen wir aktuell von 0 Einnahmen aus.</t>
        </r>
      </text>
    </comment>
    <comment ref="A29" authorId="0">
      <text>
        <r>
          <rPr>
            <b/>
            <sz val="9"/>
            <color indexed="81"/>
            <rFont val="Tahoma"/>
            <family val="2"/>
          </rPr>
          <t>Michael Schöggl:</t>
        </r>
        <r>
          <rPr>
            <sz val="9"/>
            <color indexed="81"/>
            <rFont val="Tahoma"/>
            <family val="2"/>
          </rPr>
          <t xml:space="preserve">
- Wir haben die Möglichkeit, z.B. Product Placement Partnern anzubieten, dass diese für eine einmalige Pauschale für einen gewissen Zeitraum oder eine konkret festgelegte Werbeleistung ihre Product Placement Werbung kostenlos erhalten. 
- Für die Unternehmen würde sich das eventuell lohnen, weil sie so - durch ihren Vertrauensvorschuss in unsere Leistung - ein deutlich günstigeres, besseres Angebot erhalten könnten, als andere Partner. 
- Für uns würden diese höheren Einnahmen die Basis für mehr Werbekapital und dadurch mehr Wachstum bieten und sich insofern auch lohnen, auch wenn wir langfristig rein durch die Product Placement Gebühr weniger einnehmen sollten. Sobald wir genügend User haben, dass das Vertrauen in unsere Plattform vorhanden ist, wäre dieser Zugang eine gute Lösung um schnell Einnahmen zu generieren, wenn dies aus irgendwelchen Gründen Sinn macht bzw. wir schnell Kapital benötigen. 
- Diese Zeile gilt auch für Einnahmen durch einmalige Werbeaktionen (z.B. Flyer am virtuellen Schreibtisch, Spiderman schwingt durch die virtuelle Stadt und klatscht gegen das Fenster, Trailer von Filmen am virtuellen Fernseher anzeigen, etc.).
- Wir haben hier keinen Wert eingesetzt, beim Eintragen eines Wertes bitte beachten, dass dieser ausnahmsweise für das gesamte Quartal und nicht für jeden Monat gilt. </t>
        </r>
      </text>
    </comment>
    <comment ref="B29" authorId="0">
      <text>
        <r>
          <rPr>
            <b/>
            <sz val="9"/>
            <color indexed="81"/>
            <rFont val="Tahoma"/>
            <family val="2"/>
          </rPr>
          <t xml:space="preserve">Michael Schöggl:
</t>
        </r>
        <r>
          <rPr>
            <sz val="9"/>
            <color indexed="81"/>
            <rFont val="Tahoma"/>
            <family val="2"/>
          </rPr>
          <t xml:space="preserve">
Bitte die einmaligen Einnahmen durch Partner nur jeweils in der entsprechenden Spalte für die Schätzwerte des jeweiligen Quartals eintragen. Der eingetragene Wert gilt dann für das gesamte Quartal und nicht monatlich.</t>
        </r>
      </text>
    </comment>
    <comment ref="D29" authorId="0">
      <text>
        <r>
          <rPr>
            <b/>
            <sz val="9"/>
            <color indexed="81"/>
            <rFont val="Tahoma"/>
            <family val="2"/>
          </rPr>
          <t xml:space="preserve">Michael Schöggl:
</t>
        </r>
        <r>
          <rPr>
            <sz val="9"/>
            <color indexed="81"/>
            <rFont val="Tahoma"/>
            <family val="2"/>
          </rPr>
          <t xml:space="preserve">
Bitte die einmaligen Einnahmen durch Partner nur jeweils in der entsprechenden Spalte für die Schätzwerte des jeweiligen Quartals eintragen. Der eingetragene Wert gilt dann für das gesamte Quartal und nicht monatlich.</t>
        </r>
      </text>
    </comment>
    <comment ref="A30" authorId="0">
      <text>
        <r>
          <rPr>
            <b/>
            <sz val="9"/>
            <color indexed="81"/>
            <rFont val="Tahoma"/>
            <family val="2"/>
          </rPr>
          <t>Michael Schöggl:</t>
        </r>
        <r>
          <rPr>
            <sz val="9"/>
            <color indexed="81"/>
            <rFont val="Tahoma"/>
            <family val="2"/>
          </rPr>
          <t xml:space="preserve">
Achtung: Bei den Schätzwerten wurden hier die Summen der jeweiligen </t>
        </r>
        <r>
          <rPr>
            <u/>
            <sz val="9"/>
            <color indexed="81"/>
            <rFont val="Tahoma"/>
            <family val="2"/>
          </rPr>
          <t>Quartale</t>
        </r>
        <r>
          <rPr>
            <sz val="9"/>
            <color indexed="81"/>
            <rFont val="Tahoma"/>
            <family val="2"/>
          </rPr>
          <t xml:space="preserve"> angegeben, auch wenn in den Zeilen darüber die Werte pro Monat stehen!
Allgemein gilt: Die Summenwerte mit dunklerem Hintergrund beziehen sich auf die Quartale, die Werte auf hellerem Hintergrund auf die Monate.</t>
        </r>
      </text>
    </comment>
    <comment ref="A32" authorId="0">
      <text>
        <r>
          <rPr>
            <b/>
            <sz val="9"/>
            <color indexed="81"/>
            <rFont val="Tahoma"/>
            <family val="2"/>
          </rPr>
          <t>Michael Schöggl:</t>
        </r>
        <r>
          <rPr>
            <sz val="9"/>
            <color indexed="81"/>
            <rFont val="Tahoma"/>
            <family val="2"/>
          </rPr>
          <t xml:space="preserve">
- Die Schätzung der Kosten ist in manchen Bereichen vermutlich deutlich zu hoch, aber das soll uns einen Sicherheitsspielraum in der Prognose gegeben und nicht so missverstanden werden, dass wir nicht sparsam wirtschaften wollen. 
- Je nach Erfolg (primär gemessen durch die Unterschiede zwischen Realität und Prognose) werden wir bei einer schlechten Entwicklung bei den Ausgaben größere Einsparungen vornehmen, schließlich haben wir beinahe nur Personalkosten, bzw. allgemein sehr flexible Kosten, die mit dem Personal zusammenhängen. 
- Im Worst Case Szenario könnten wir mit weniger als 10.000 € pro Monat "überleben" und die Zeit mit der eigenen, kaum bezahlten Arbeit ausharren, bis unsere Userzahlen und damit auch die Einnahmen entsprechend ansteigen. Wirklich notwendig sind nur die Kosten für einen Software-Entwickler, die Server-Kosten (rund 300 € pro Monat) und die Lebenserhaltungskosten für den Geschäftsführer.
- Im positiven Fall hingegen könnten wir die Ausgaben so stark durch neue Personalkosten anheben, dass wir knapp keine Gewinne machen, damit Steuern sparen und unseren Konkurrenzvorsprung noch stärker ausbauen. Wenn sich abzeichnet, dass jeder neue User deutlich mehr Geld einbringt, als er kostet, wird es vermutlich Sinn machen, auf frühe Gewinne zu verzichten, um weitere Geschäftsmodelle früher aufzubauen, den Markt zu erobern und den Abstand zur Konkurrenz zu vergrößern. Mit mehr Ausgaben können auch mehr In-App-Inhalte geschaffen, oder durch (mehr) Sales-Mitarbeiter mehr Partner oder Medien akquiriert werden, was sehr rasch deutlich mehr bringen würde, als es gekostet hat. 
- Daher - sowohl was positive, als auch negative Entwicklungen betrifft - sind die Ausgaben pro Monat nur als grober Richtwert zu verstehen. Eine Umsatzprognose soll nur eine Hilfestellung sein, aber nicht davon abhalten, je nach Bedarf und Entwicklung flexibel auf die Situation eingehen zu können, um die bestmöglichen Ergebnisse zu erzielen. Durch die einfache Anpassbarkeit der Werte in diesem Spritesheet lassen sich sehr einfach verschiedene Szenarien durchspielen, sobald wir mehr konkrete, reale Werte gemessen haben. Gerade auch was Werbeausgaben betrifft (siehe 3.13 und 3.14) hängt die beste Strategie eindeutig davon ab, wie viel uns jeder neue User kostet (3.12) und wieviel Einnahmen wir mit ihm generieren. Ein schneller Start kann von unvergleichlicher Bedeutung für den Erfolg des Unternehmens sein.</t>
        </r>
      </text>
    </comment>
    <comment ref="A33" authorId="0">
      <text>
        <r>
          <rPr>
            <b/>
            <sz val="9"/>
            <color indexed="81"/>
            <rFont val="Tahoma"/>
            <family val="2"/>
          </rPr>
          <t xml:space="preserve">Michael Schöggl:
</t>
        </r>
        <r>
          <rPr>
            <sz val="9"/>
            <color indexed="81"/>
            <rFont val="Tahoma"/>
            <family val="2"/>
          </rPr>
          <t xml:space="preserve">
- Die Anlageinvestitionen (Büroeinrichtung, EDV, etc.) wurden mit 4%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3" authorId="0">
      <text>
        <r>
          <rPr>
            <b/>
            <sz val="9"/>
            <color indexed="81"/>
            <rFont val="Tahoma"/>
            <family val="2"/>
          </rPr>
          <t xml:space="preserve">Michael Schöggl:
</t>
        </r>
        <r>
          <rPr>
            <sz val="9"/>
            <color indexed="81"/>
            <rFont val="Tahoma"/>
            <family val="2"/>
          </rPr>
          <t xml:space="preserve">
</t>
        </r>
        <r>
          <rPr>
            <b/>
            <sz val="9"/>
            <color indexed="81"/>
            <rFont val="Tahoma"/>
            <family val="2"/>
          </rPr>
          <t>Wie hoch sind die monatlichen Mindestkosten für Anlageinvestitionen?</t>
        </r>
        <r>
          <rPr>
            <sz val="9"/>
            <color indexed="81"/>
            <rFont val="Tahoma"/>
            <family val="2"/>
          </rPr>
          <t xml:space="preserve">
</t>
        </r>
        <r>
          <rPr>
            <u/>
            <sz val="9"/>
            <color indexed="81"/>
            <rFont val="Tahoma"/>
            <family val="2"/>
          </rPr>
          <t>Begründung für diesen Wert</t>
        </r>
        <r>
          <rPr>
            <sz val="9"/>
            <color indexed="81"/>
            <rFont val="Tahoma"/>
            <family val="2"/>
          </rPr>
          <t>:
- Hier haben wir keinen Wert eingetragen, bisher haben sich 3-4% der Personalkosten sehr gut bewehrt. Die Kosten pro Mitarbeiter für einen Arbeitsplatz lagen bei günstigen 1500 €, diese Kosten würden zwar steigen, aber gleichzeitig auch die Gehälter, weshalb sich das wieder ausgleicht. 
Längerfristig wird es bei Erfolg natürlich Sinn machen, ein eigenes Büro zu bauen/kaufen, diese Kosten sind hier nicht berücksichtigt, u.a. auch, weil es dabei um Abschreibposten mit einem bleibenden Verkaufswert handeln würde, die am Ende auch nicht (viel) teurer kommen, als Miete. 
Die Kosten in den Spalten rechts sind monatlich, auf ein Jahr gerechnet werden sie realistisch.</t>
        </r>
      </text>
    </comment>
    <comment ref="C33" authorId="0">
      <text>
        <r>
          <rPr>
            <b/>
            <sz val="9"/>
            <color indexed="81"/>
            <rFont val="Tahoma"/>
            <family val="2"/>
          </rPr>
          <t>Michael Schöggl:</t>
        </r>
        <r>
          <rPr>
            <sz val="9"/>
            <color indexed="81"/>
            <rFont val="Tahoma"/>
            <family val="2"/>
          </rPr>
          <t xml:space="preserve">
</t>
        </r>
        <r>
          <rPr>
            <b/>
            <sz val="9"/>
            <color indexed="81"/>
            <rFont val="Tahoma"/>
            <family val="2"/>
          </rPr>
          <t>Wieviel Prozent der Personalkosten sind für Anlageinvestitionen geplant?</t>
        </r>
        <r>
          <rPr>
            <sz val="9"/>
            <color indexed="81"/>
            <rFont val="Tahoma"/>
            <family val="2"/>
          </rPr>
          <t xml:space="preserve">
</t>
        </r>
        <r>
          <rPr>
            <u/>
            <sz val="9"/>
            <color indexed="81"/>
            <rFont val="Tahoma"/>
            <family val="2"/>
          </rPr>
          <t>Begründung für diesen Wert</t>
        </r>
        <r>
          <rPr>
            <sz val="9"/>
            <color indexed="81"/>
            <rFont val="Tahoma"/>
            <family val="2"/>
          </rPr>
          <t>:
- Aufgrund bisherigen Erfahrungswerte gehen wir von rund 4 % der Personalkosten für Anlageinvestitionen aus (ca. 1500 € bisher pro Arbeitsplatz für Möbel, PC, Monitor, etc.).
- Wenn connect erfolgreich genug ist, wird es irgendwann Sinn machen, ein eigenes Büro zu kaufen oder zu bauen. Aber dann müssten die entsprechenden Werte händisch rechts eingetragen werden, sofern sie nicht als Abschreibung innerhalb der x % pro Personalkosten bleiben.</t>
        </r>
      </text>
    </comment>
    <comment ref="A34" authorId="0">
      <text>
        <r>
          <rPr>
            <b/>
            <sz val="9"/>
            <color indexed="81"/>
            <rFont val="Tahoma"/>
            <family val="2"/>
          </rPr>
          <t>Michael Schöggl:</t>
        </r>
        <r>
          <rPr>
            <sz val="9"/>
            <color indexed="81"/>
            <rFont val="Tahoma"/>
            <family val="2"/>
          </rPr>
          <t xml:space="preserve">
Die Personal- und Outsourcingkosten sind absolut flexibel. Wir könnten auch mit einem Team aus 1,5 Mitarbeitern (1 Senior Developer und 1 Teilzeit-Grafiker) unsere App instandhalten und langsam weiterentwickeln (Kosten: ca. 8.000 € monatlich).
Natürlich macht es aber Sinn, bei positiver wirtschaftlicher Entwicklung das Tempo voranzutreiben, vor allem, wenn jeder neue Mitarbeiter mehr Geld einbringt, als er an Kosten verursacht (z.B. Sales-Mitarbeiter, die lukrative B2B-Partner gewinnen). 
Die hier veranschlagten Personal- und Outsourcing-Kosten richten sich im 1. und 2. Quartal 2020 daran, dass sich connect wie geplant bis Mitte 2020 fertigstellen lässt (rund 30.000 € pro Monat). 
Ab Quartal 3 2020 könnten die Personal- und Outsourcingkosten (bei Bedarf) wieder reduziert werden, bei positiver Entwicklung jedoch würden wir sie konstant um x Prozent der Einnahmen anheben, um unseren Wettbewerbsvorteil zu verteidigen und connect rasch zu verbessern.
Mehr Einnahmen bedeuten in unserem Fall zudem mehr User bzw. B2B-Partner und insofern auch höhere Personal-Kosten für z.B. Support oder Sales. Wir wollen zwar möglichst alle Prozesse automatisieren, aber es macht natürlich Sinn, trotzdem mehr Geld in die Entwicklung zu stecken, wenn der wirtschaftliche Erfolg erkennbar wird. Darum wurden in der Prognose die Personalkosten ab 2021 auch direkt von den Einnahmen abhängig gemacht.</t>
        </r>
      </text>
    </comment>
    <comment ref="B34" authorId="0">
      <text>
        <r>
          <rPr>
            <b/>
            <sz val="9"/>
            <color indexed="81"/>
            <rFont val="Tahoma"/>
            <family val="2"/>
          </rPr>
          <t>Michael Schöggl:</t>
        </r>
        <r>
          <rPr>
            <sz val="9"/>
            <color indexed="81"/>
            <rFont val="Tahoma"/>
            <family val="2"/>
          </rPr>
          <t xml:space="preserve">
</t>
        </r>
        <r>
          <rPr>
            <b/>
            <sz val="9"/>
            <color indexed="81"/>
            <rFont val="Tahoma"/>
            <family val="2"/>
          </rPr>
          <t xml:space="preserve">Um wieviel Prozent der Einnahmen steigen die Personalkosten gegenüber dem Vormonat? 
</t>
        </r>
        <r>
          <rPr>
            <u/>
            <sz val="9"/>
            <color indexed="81"/>
            <rFont val="Tahoma"/>
            <family val="2"/>
          </rPr>
          <t>Begründung für diesen Wert</t>
        </r>
        <r>
          <rPr>
            <sz val="9"/>
            <color indexed="81"/>
            <rFont val="Tahoma"/>
            <family val="2"/>
          </rPr>
          <t>:
- connect könnte mit gleichbleibenden 20.000 € pro Monat an Personalkosten (oder sogar weniger) weiterentwickelt werden. Wir sind bezüglich Personalkosten äußerst flexibel. Selbst sehr erfolgreiche Apps wie WhatsApp hatten jahrelang nur eine Handvoll Mitarbeiter.
- Weil wir aber im Gegensatz zu z.B. WhatsApp sehr schnell Einnahmen haben werden, unseren Wettbewerbsvorteil verteidigen müssen und connect kontinuierlich weiterentwickeln wollen, rechnen wir mit 10% aller Einnahmen an zusätzlichen Personalkosten. Dieser Werte kann beliebig angepasst werden, je nachdem, wie rasch wir connect weiterentwickeln wollen. Zur Leistung unserer Angestellten kommen noch die Leistungen unserer Outsourcing-Partner (siehe 3.11) dazu. 
- Die Berechnung der Personalkosten prozentual zu den Einnahmen erlaubt uns finanzielle Entscheidungen ohne großes Risiko. 
- Auch die Werbekosten und die Outsourcing-Kosten werden prozentual gerechnet, ebenso indirekt Anlageinvestitionen, Material und Betriebsausgaben. Die prozentualen Ausgaben sollen dauerhaft unter den Einnahmen bleiben. Bei den Einnahmen erwarten wir (bis auf übliche jahreszeitabhängige Schwankungen) wenig Fluktuationen bzw. Überraschungen, weil sich durch die Masse der User Zufallseffekte weitestgehend "raus-mitteln". Übrig bleiben primär systematische Fehler, wenn wir es z.B. verabsäumen, neue, attraktive In-App-Käufe nachzuliefern und diese Wahrnehmung von den meisten Usern gleichermaßen geteilt wird.</t>
        </r>
      </text>
    </comment>
    <comment ref="C34" authorId="0">
      <text>
        <r>
          <rPr>
            <b/>
            <sz val="9"/>
            <color indexed="81"/>
            <rFont val="Tahoma"/>
            <family val="2"/>
          </rPr>
          <t>Michael Schöggl:</t>
        </r>
        <r>
          <rPr>
            <sz val="9"/>
            <color indexed="81"/>
            <rFont val="Tahoma"/>
            <family val="2"/>
          </rPr>
          <t xml:space="preserve">
</t>
        </r>
        <r>
          <rPr>
            <b/>
            <sz val="9"/>
            <color indexed="81"/>
            <rFont val="Tahoma"/>
            <family val="2"/>
          </rPr>
          <t xml:space="preserve">Um wieviel Prozent pro Quartal werden die prozentualen Personalsausgaben reduziert? </t>
        </r>
        <r>
          <rPr>
            <sz val="9"/>
            <color indexed="81"/>
            <rFont val="Tahoma"/>
            <family val="2"/>
          </rPr>
          <t xml:space="preserve">
</t>
        </r>
        <r>
          <rPr>
            <u/>
            <sz val="9"/>
            <color indexed="81"/>
            <rFont val="Tahoma"/>
            <family val="2"/>
          </rPr>
          <t>Begründung für diesen Wert</t>
        </r>
        <r>
          <rPr>
            <sz val="9"/>
            <color indexed="81"/>
            <rFont val="Tahoma"/>
            <family val="2"/>
          </rPr>
          <t>:
- Wenn sich connect gut entwickelt, ist es unrealistisch, dass unsere Personalausgaben dauerhaft an x % der Einnahmen angepasst werden. Unsere Ausnahmen müssen/sollen nicht direkt proportional zu den Einnahmen mitsteigen, weil die Entwicklungskosten nicht automatisch höher werden, nur, weil mehr User unsere Entwicklung verwenden. 
- Im Gegensatz zu Facebook und Co wollen wir beim Personal eher klein bleiben und a.) möglichst viel automatisieren, b.) Funktionen, die hohe Kosten durch z.B. Support benötigen, gar nicht erst anbieten, sondern diese c.) unseren Partnern überlassen. 
- Neue Inhalte sollen langfristig primär von unseren Partnern kommen, während wir mit Provision daran mitverdienen. Wir kümmern uns vorrangig um die "Schnittstelle", bzw. die Basisfunktionen, die weniger kosteneffizienten Entwicklungen (wie z.B. aufwendige Inhalte, die nur einmal schnell "durchgespielt" werden), überlassen wir unseren Partnern. 
- Je besser unser Netzwerk ist (Fokus liegt darauf!), umso mehr Partner-Inhalte bekommen wir - und wenn wir das gut machen, besser, als die Konkurrenz, dann wachsen unsere Inhalte durch Partner schneller, als wenn wir sie selbst entwickeln würden. 
- Dieser Zugang ist kostensparend, darum ist davon auszugehen, dass die prozentualen Ausgaben von unseren Einnahmen für das Personal im Laufe der Quartale um den Faktor x sinken werden. Der Großteil des Personals wird wohl aus Evangelisten, Sales- und Service-Mitarbeitern bestehen, aber auch hier wollen wir durch ChatBots, KI, etc. so viel wie möglich automatisieren.</t>
        </r>
      </text>
    </comment>
    <comment ref="A35" authorId="0">
      <text>
        <r>
          <rPr>
            <b/>
            <sz val="9"/>
            <color indexed="81"/>
            <rFont val="Tahoma"/>
            <family val="2"/>
          </rPr>
          <t xml:space="preserve">Michael Schöggl:
</t>
        </r>
        <r>
          <rPr>
            <sz val="9"/>
            <color indexed="81"/>
            <rFont val="Tahoma"/>
            <family val="2"/>
          </rPr>
          <t xml:space="preserve">
- Die Kosten für Material und Waren (z.B. Druckerpapier, Instandhaltung, Büroartikel, etc.) wurden mit 1%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5" authorId="0">
      <text>
        <r>
          <rPr>
            <b/>
            <sz val="9"/>
            <color indexed="81"/>
            <rFont val="Tahoma"/>
            <family val="2"/>
          </rPr>
          <t>Michael Schöggl:</t>
        </r>
        <r>
          <rPr>
            <sz val="9"/>
            <color indexed="81"/>
            <rFont val="Tahoma"/>
            <family val="2"/>
          </rPr>
          <t xml:space="preserve">
</t>
        </r>
        <r>
          <rPr>
            <b/>
            <sz val="9"/>
            <color indexed="81"/>
            <rFont val="Tahoma"/>
            <family val="2"/>
          </rPr>
          <t xml:space="preserve">
Wieviel € pro Monat haben wir an Fixkosten für Material und Waren, unabhängig von der Größe des Teams?</t>
        </r>
        <r>
          <rPr>
            <sz val="9"/>
            <color indexed="81"/>
            <rFont val="Tahoma"/>
            <family val="2"/>
          </rPr>
          <t xml:space="preserve">
</t>
        </r>
        <r>
          <rPr>
            <u/>
            <sz val="9"/>
            <color indexed="81"/>
            <rFont val="Tahoma"/>
            <family val="2"/>
          </rPr>
          <t xml:space="preserve">
Begründung für diesen Wert</t>
        </r>
        <r>
          <rPr>
            <sz val="9"/>
            <color indexed="81"/>
            <rFont val="Tahoma"/>
            <family val="2"/>
          </rPr>
          <t>:
- Wir berechnen die Kosten für Material und Waren (z.B. Bürobedarf) nur relativ zum Personal, da dies einfacher ist und es keine (relevanten) Fixkosten gibt. Allgemein sind diese Werte alle viel zu niedrig, alsdass sich eine nähere Betrachtung lohnen würde.</t>
        </r>
      </text>
    </comment>
    <comment ref="C35" authorId="0">
      <text>
        <r>
          <rPr>
            <b/>
            <sz val="9"/>
            <color indexed="81"/>
            <rFont val="Tahoma"/>
            <family val="2"/>
          </rPr>
          <t>Michael Schöggl:</t>
        </r>
        <r>
          <rPr>
            <sz val="9"/>
            <color indexed="81"/>
            <rFont val="Tahoma"/>
            <family val="2"/>
          </rPr>
          <t xml:space="preserve">
</t>
        </r>
        <r>
          <rPr>
            <b/>
            <sz val="9"/>
            <color indexed="81"/>
            <rFont val="Tahoma"/>
            <family val="2"/>
          </rPr>
          <t>Wieviel Prozent der Personalkosten werden pro Monat für Material und Waren benötigt?</t>
        </r>
        <r>
          <rPr>
            <sz val="9"/>
            <color indexed="81"/>
            <rFont val="Tahoma"/>
            <family val="2"/>
          </rPr>
          <t xml:space="preserve">
</t>
        </r>
        <r>
          <rPr>
            <u/>
            <sz val="9"/>
            <color indexed="81"/>
            <rFont val="Tahoma"/>
            <family val="2"/>
          </rPr>
          <t>Begründung für diesen Wert</t>
        </r>
        <r>
          <rPr>
            <sz val="9"/>
            <color indexed="81"/>
            <rFont val="Tahoma"/>
            <family val="2"/>
          </rPr>
          <t>:
Aufgrund bisherigen Erfahrungswerte gehen wir von rund 1 % der Personalkosten für Büromaterial und kleinere Ausgaben (z.B. Papier, Post, Reinigungsmittel, etc.) aus.</t>
        </r>
      </text>
    </comment>
    <comment ref="A36" authorId="0">
      <text>
        <r>
          <rPr>
            <b/>
            <sz val="9"/>
            <color indexed="81"/>
            <rFont val="Tahoma"/>
            <family val="2"/>
          </rPr>
          <t xml:space="preserve">Michael Schöggl:
</t>
        </r>
        <r>
          <rPr>
            <sz val="9"/>
            <color indexed="81"/>
            <rFont val="Tahoma"/>
            <family val="2"/>
          </rPr>
          <t xml:space="preserve">
- Die Betriebsausgaben (Miete, Strom, Internet, etc.) wurden mit 6%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6" authorId="0">
      <text>
        <r>
          <rPr>
            <b/>
            <sz val="9"/>
            <color indexed="81"/>
            <rFont val="Tahoma"/>
            <family val="2"/>
          </rPr>
          <t>Michael Schöggl:</t>
        </r>
        <r>
          <rPr>
            <sz val="9"/>
            <color indexed="81"/>
            <rFont val="Tahoma"/>
            <family val="2"/>
          </rPr>
          <t xml:space="preserve">
</t>
        </r>
        <r>
          <rPr>
            <b/>
            <sz val="9"/>
            <color indexed="81"/>
            <rFont val="Tahoma"/>
            <family val="2"/>
          </rPr>
          <t>Wieviel € pro Monat haben wir an Fixkosten für Betriebsausgaben, unabhängig von der Größe des Teams?</t>
        </r>
        <r>
          <rPr>
            <sz val="9"/>
            <color indexed="81"/>
            <rFont val="Tahoma"/>
            <family val="2"/>
          </rPr>
          <t xml:space="preserve">
</t>
        </r>
        <r>
          <rPr>
            <u/>
            <sz val="9"/>
            <color indexed="81"/>
            <rFont val="Tahoma"/>
            <family val="2"/>
          </rPr>
          <t>Begründung für diesen Wert</t>
        </r>
        <r>
          <rPr>
            <sz val="9"/>
            <color indexed="81"/>
            <rFont val="Tahoma"/>
            <family val="2"/>
          </rPr>
          <t xml:space="preserve">:
- Im Moment haben wir aufgerundet ca. 1500 € an Betriebskosten, die wir nicht sofort reduzieren können, sondern erst nach Kündigung (z.B. für Miete, Strom, Internet, Lizenzen und ähnliches). Diese Fixkosten würden sich auch nihilieren lassen, aber es würde bis zu 3 Monate dauern. </t>
        </r>
      </text>
    </comment>
    <comment ref="C36" authorId="0">
      <text>
        <r>
          <rPr>
            <b/>
            <sz val="9"/>
            <color indexed="81"/>
            <rFont val="Tahoma"/>
            <family val="2"/>
          </rPr>
          <t xml:space="preserve">Michael Schöggl:
Wieviel Prozent der Personalkosten werden pro Monat für Betriebsausgaben benötigt?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Aufgrund bisherigen Erfahrungswerte gehen wir von rund 6% der Personalkosten für Betriebsausgaben wie z.B. Miete, Strom, Internet, Lizenzen etc. aus.
- So wie die meisten anderen Kosten ist dieser Wert tendenziell zu hoch eingeschätzt, um bei der Prognose genügend Platz für unbedachte Kosten offen zu halten. 4% wären im sparsamen Fall ebenso realistisch möglich (z.B. Team aus 10 Leuten mit 50.000 € monatlichen Personalkosten in einem Büro zu 1000 € mit 1000 € an weiteren Betriebskosten für Strom, Internet, etc. = 4%).</t>
        </r>
      </text>
    </comment>
    <comment ref="A37" authorId="0">
      <text>
        <r>
          <rPr>
            <b/>
            <sz val="9"/>
            <color indexed="81"/>
            <rFont val="Tahoma"/>
            <family val="2"/>
          </rPr>
          <t>Michael Schöggl:</t>
        </r>
        <r>
          <rPr>
            <sz val="9"/>
            <color indexed="81"/>
            <rFont val="Tahoma"/>
            <family val="2"/>
          </rPr>
          <t xml:space="preserve">
- Für In-App-Einkäufe über den Google Play Store und ab Mitte 2020 auch über den App Store (Apple) fallen Transaktionsgebühren an.
- Diese Gebühren beinhalten bereits alle Nebenkosten, die durch Bankspesen, Zahlungsverkehr etc. entstehen. 
- Zu Beginn macht es Sinn, Einkäufe über den App-Store abzuwickeln, selbst wenn die Gebühren höher sind, als ein eigener Zugang (z.B. der Kauf von Punkten auf der Homepage, die dann in der App eingelöst werden können). 
- Warum? Weil deutlich mehr Menschen einkaufen werden, wenn der Einkauf ganz einfach und gewohnt über den App-Store abgewickelt wird, wo die Bezahlmethode bereits hinterlegt ist, als über unsere eigene Lösung. Eine höhere Zahlbereitschaft wird wichtiger sein, als das Sparen von Gebühren. 
- Zudem unterstützen die App-Stores eine Vielzahl verschiedener Zahlmöglichkeiten, diese alle mit z.B. Wirecard einzurichten, würde bei einer zunächst kleinen Summe an Transaktionen mehr kosten, als bringen. Die Kosten pro Transaktion nehmen erst ab einer großen Anzahl an monatlichen Einkäufen so stark ab, dass es sich lohnen könnte, ein eigenes Bezahlsystem anzubieten. 
- Langfristig haben wir aber natürlich genau das vor, weil wir uns sehr viele Kosten sparen könnten, wenn unsere Kosten pro Transaktion von 30% auf z.B. 15% fallen. Mehr dazu in den Kommentaren rechts.</t>
        </r>
      </text>
    </comment>
    <comment ref="B37" authorId="0">
      <text>
        <r>
          <rPr>
            <b/>
            <sz val="9"/>
            <color indexed="81"/>
            <rFont val="Tahoma"/>
            <family val="2"/>
          </rPr>
          <t xml:space="preserve">Michael Schöggl:
Wieviel Prozent sämtlicher Einnahmen über den App Store fallen an Gebühren an?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Transaktionsgebühren für In-App-Verkäufe im Google Play Store (30%). Die Gebühren für abgeschlossene Abos betragen 15%. Andere Stores wie z.B. Apple, Steam oder PlayStation sind günstiger, aber wir rechnen hier sicherheitshalber mit den höchsten Werten (abzüglich einer optional einstellbaren Verbesserung pro Quartal in der Spalte rechts). </t>
        </r>
      </text>
    </comment>
    <comment ref="C37" authorId="0">
      <text>
        <r>
          <rPr>
            <b/>
            <sz val="9"/>
            <color indexed="81"/>
            <rFont val="Tahoma"/>
            <family val="2"/>
          </rPr>
          <t xml:space="preserve">Michael Schöggl:
</t>
        </r>
        <r>
          <rPr>
            <b/>
            <sz val="9"/>
            <color indexed="81"/>
            <rFont val="Tahoma"/>
            <family val="2"/>
          </rPr>
          <t xml:space="preserve">
Um wieviel Prozent pro Quartal lassen sich die Transaktionsgebühren senken?</t>
        </r>
        <r>
          <rPr>
            <sz val="9"/>
            <color indexed="81"/>
            <rFont val="Tahoma"/>
            <family val="2"/>
          </rPr>
          <t xml:space="preserve">
</t>
        </r>
        <r>
          <rPr>
            <u/>
            <sz val="9"/>
            <color indexed="81"/>
            <rFont val="Tahoma"/>
            <family val="2"/>
          </rPr>
          <t>Begründung für diesen Wert</t>
        </r>
        <r>
          <rPr>
            <sz val="9"/>
            <color indexed="81"/>
            <rFont val="Tahoma"/>
            <family val="2"/>
          </rPr>
          <t>:
Wir gehen davon aus, die Transaktionsgebühren im Laufe der nächsten 3 Jahre von maximal 30% (= alle Einkäufe werden über den Play Store getätigt) auf rund 16,5% senken zu können, da ...
1.) ... wir auch alternative Bezahlungsmöglichkeiten anbieten wollen, z.B. über den Erwerb von Punkten auf unserer Homepage, die uns deutlich günstiger kommen.
2.) ... der Play Store zu den teuersten Stores gehört, connect aber nicht nur für Android erscheint, sondern auch PlayStation, Steam etc.
3.) ... die Store-Preise allgemein etwas fallen werden.
4.) ... wir uns hier gewaltige Kosten sparen können und daher sehr motiviert sein werden, Alternativen anzubieten.</t>
        </r>
      </text>
    </comment>
    <comment ref="A38" authorId="0">
      <text>
        <r>
          <rPr>
            <b/>
            <sz val="9"/>
            <color indexed="81"/>
            <rFont val="Tahoma"/>
            <family val="2"/>
          </rPr>
          <t>Michael Schöggl:</t>
        </r>
        <r>
          <rPr>
            <sz val="9"/>
            <color indexed="81"/>
            <rFont val="Tahoma"/>
            <family val="2"/>
          </rPr>
          <t xml:space="preserve">
Mit Ende 2019 betragen die Zinsen pro Monat ca. 3000 Euro, beim Beginn der Rückzahlung ist unsere Hausbank flexibel, wir rechnen aber ab Ende 2020 mit einer Laufzeit von 10 Jahren.
Auch wenn bei guter wirtschaftlicher Entwicklung der gesamte Kredit deutlich früher zurückgezahlt werden kann und wird, wird sicherheitshalber in dieser Prognose davon ausgegangen, dass die Rückzahlung im Verlauf von 10 Jahren erfolgt.</t>
        </r>
      </text>
    </comment>
    <comment ref="B38" authorId="0">
      <text>
        <r>
          <rPr>
            <b/>
            <sz val="9"/>
            <color indexed="81"/>
            <rFont val="Tahoma"/>
            <family val="2"/>
          </rPr>
          <t>Michael Schöggl:</t>
        </r>
        <r>
          <rPr>
            <sz val="9"/>
            <color indexed="81"/>
            <rFont val="Tahoma"/>
            <family val="2"/>
          </rPr>
          <t xml:space="preserve">
</t>
        </r>
        <r>
          <rPr>
            <b/>
            <sz val="9"/>
            <color indexed="81"/>
            <rFont val="Tahoma"/>
            <family val="2"/>
          </rPr>
          <t>Wieviel Zinsen bezahlen wir für laufende Kredite pro Monat?</t>
        </r>
        <r>
          <rPr>
            <sz val="9"/>
            <color indexed="81"/>
            <rFont val="Tahoma"/>
            <family val="2"/>
          </rPr>
          <t xml:space="preserve">
</t>
        </r>
        <r>
          <rPr>
            <u/>
            <sz val="9"/>
            <color indexed="81"/>
            <rFont val="Tahoma"/>
            <family val="2"/>
          </rPr>
          <t>Begründung für diesen Wert</t>
        </r>
        <r>
          <rPr>
            <sz val="9"/>
            <color indexed="81"/>
            <rFont val="Tahoma"/>
            <family val="2"/>
          </rPr>
          <t>:
- Erfahrungswerte: Die aktuellen Zinsen pro Monat betragen knapp 3000 €.</t>
        </r>
      </text>
    </comment>
    <comment ref="C38" authorId="0">
      <text>
        <r>
          <rPr>
            <b/>
            <sz val="9"/>
            <color indexed="81"/>
            <rFont val="Tahoma"/>
            <family val="2"/>
          </rPr>
          <t xml:space="preserve">Michael Schöggl:
Wieviel € pro Monat müssen für laufende Kredite ab 2021 zurückbezahlt werden?
</t>
        </r>
        <r>
          <rPr>
            <u/>
            <sz val="9"/>
            <color indexed="81"/>
            <rFont val="Tahoma"/>
            <family val="2"/>
          </rPr>
          <t>Begründung für diesen Wert</t>
        </r>
        <r>
          <rPr>
            <sz val="9"/>
            <color indexed="81"/>
            <rFont val="Tahoma"/>
            <family val="2"/>
          </rPr>
          <t>:
Über eine Laufzeit von 10 Jahren sollen ab 2021 die offenen Kredite (590.000 €) rückgezahlt werden.
Die erhaltenen Investitionen durch partiarische Darlehen werden über eine Gewinnbeteiligung ausgeschüttet, bis sie abbezahlt sind.</t>
        </r>
      </text>
    </comment>
    <comment ref="A39" authorId="0">
      <text>
        <r>
          <rPr>
            <b/>
            <sz val="9"/>
            <color indexed="81"/>
            <rFont val="Tahoma"/>
            <family val="2"/>
          </rPr>
          <t>Michael Schöggl:</t>
        </r>
        <r>
          <rPr>
            <sz val="9"/>
            <color indexed="81"/>
            <rFont val="Tahoma"/>
            <family val="2"/>
          </rPr>
          <t xml:space="preserve">
Alle Einnahmen wurden brutto mit Umsatzsteuer berechnet. D.h. die Einnahmenprognose ist um 20% vorsichtiger, als auf den ersten Blick angenommen, wenn Netto- statt Brutto-Beträge erwartet wurden.
Zwar besteht später die Möglichkeit, Steuervorteile zu nutzen (und der Steuersatz ist auch nicht in jedem Land so hoch, wie in Österreich), sicherheitshalber haben wir aber trotzdem mit 20% Umsatzsteuer auf alle Einnahmen gerechnet.</t>
        </r>
      </text>
    </comment>
    <comment ref="B39" authorId="0">
      <text>
        <r>
          <rPr>
            <b/>
            <sz val="9"/>
            <color indexed="81"/>
            <rFont val="Tahoma"/>
            <family val="2"/>
          </rPr>
          <t xml:space="preserve">Michael Schöggl:
Wieviel Prozent an Umsatzsteuer müssen für Einnahmen bezahlt werden?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Umsatzsteuer in Österreich, dieser Wert kann langfristig durch entsprechende Steuersparmaßnahmen deutlich reduziert werden.
- Die Umsatzsteuer in anderen Ländern ist in der Regel (deutlich) niedriger, aber unsere Prognose soll mit vorsichtigen Werten arbeiten.</t>
        </r>
      </text>
    </comment>
    <comment ref="C39"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Um wieviel Prozent pro Quartal sinkt die Umsatzsteuer durch steuersparende Maßnahmen?
</t>
        </r>
        <r>
          <rPr>
            <u/>
            <sz val="9"/>
            <color indexed="81"/>
            <rFont val="Tahoma"/>
            <family val="2"/>
          </rPr>
          <t>Begründung für diesen Wert</t>
        </r>
        <r>
          <rPr>
            <sz val="9"/>
            <color indexed="81"/>
            <rFont val="Tahoma"/>
            <family val="2"/>
          </rPr>
          <t xml:space="preserve">:
Wir nehmen hier 0 an, weil wir brave Steuerzahler sind, aber realistisch ist es nicht, dass wir dauerhaft 20% Umsatzsteuer zahlen würden, daher bei Bedarf hier bitte einen Minuswert eintragen - z.B. -1% (in 9 Schritten reduziert sich dann die Umsatzsteuer kontinuierlich von 20% auf 11%. 
</t>
        </r>
      </text>
    </comment>
    <comment ref="A40" authorId="0">
      <text>
        <r>
          <rPr>
            <b/>
            <sz val="9"/>
            <color indexed="81"/>
            <rFont val="Tahoma"/>
            <family val="2"/>
          </rPr>
          <t>Michael Schöggl:</t>
        </r>
        <r>
          <rPr>
            <sz val="9"/>
            <color indexed="81"/>
            <rFont val="Tahoma"/>
            <family val="2"/>
          </rPr>
          <t xml:space="preserve">
Der Gewinn wird so lange wie möglich reinvestiert, um keine Körperschaftsteuer (bzw. Einkommensteuer) zahlen zu müssen. 
Eigentlich rechnen bis Ende 2021 damit, die Einnahmen vollständig reinvestieren zu können und keine Gewinne zu machen. Bei der Prognose wurden aber einfach alle Gewinne mit 25% Körperschaftsteuer belegt.
Die Mindestkörperschaftssteuer beträgt bei einer GmbH rund 1750 € pro Jahr, kann aber später gegengerechnet werden, weshalb wir diesen Wert ignorieren (das ist kein Liquiditätsplan).
</t>
        </r>
      </text>
    </comment>
    <comment ref="B40" authorId="0">
      <text>
        <r>
          <rPr>
            <b/>
            <sz val="9"/>
            <color indexed="81"/>
            <rFont val="Tahoma"/>
            <family val="2"/>
          </rPr>
          <t>Michael Schöggl:
Wieviel Prozent des Gewinns müssen an Körperschaftsteuer abgezogen werden?</t>
        </r>
        <r>
          <rPr>
            <sz val="9"/>
            <color indexed="81"/>
            <rFont val="Tahoma"/>
            <family val="2"/>
          </rPr>
          <t xml:space="preserve">
</t>
        </r>
        <r>
          <rPr>
            <u/>
            <sz val="9"/>
            <color indexed="81"/>
            <rFont val="Tahoma"/>
            <family val="2"/>
          </rPr>
          <t>Begründung für diesen Wert</t>
        </r>
        <r>
          <rPr>
            <sz val="9"/>
            <color indexed="81"/>
            <rFont val="Tahoma"/>
            <family val="2"/>
          </rPr>
          <t>:
- Körperschaftsteuer in Österreich, dieser Wert kann langfristig durch entsprechende Steuersparmaßnahmen natürlich reduziert werden, zudem gibt es Beschlüsse der neuen Bundesregierung, die Körperschaftsteuer deutlich zu senken.
- Ebenso wie die Umsatzsteuer ist die Körperschaftsteuer in anderen Ländern auch niedriger, aber wir wollen vorsichtige Schätzwerte.</t>
        </r>
      </text>
    </comment>
    <comment ref="C40"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sinkt die Körperschaftsteuer durch steuersparende Maßnahmen?</t>
        </r>
        <r>
          <rPr>
            <sz val="9"/>
            <color indexed="81"/>
            <rFont val="Tahoma"/>
            <family val="2"/>
          </rPr>
          <t xml:space="preserve">
Wir nehmen hier 0 an, weil wir brave Steuerzahler sind, aber realistisch ist es nicht, dass wir dauerhaft 35 % Körperschaftsteuer zahlen würden (u.a. weil Gewinne reinvestiert werden, notfalls in andere Unternehmen oder Zukäufe), daher bei Bedarf hier bitte einen Minuswert eintragen - z.B. -1% (in 9 Schritten reduziert sich dann die Umsatzsteuer kontinuierlich von 20% auf 11%. </t>
        </r>
      </text>
    </comment>
    <comment ref="A41" authorId="0">
      <text>
        <r>
          <rPr>
            <b/>
            <sz val="9"/>
            <color indexed="81"/>
            <rFont val="Tahoma"/>
            <family val="2"/>
          </rPr>
          <t>Michael Schöggl:</t>
        </r>
        <r>
          <rPr>
            <sz val="9"/>
            <color indexed="81"/>
            <rFont val="Tahoma"/>
            <family val="2"/>
          </rPr>
          <t xml:space="preserve">
Meine geplanten Privatentnahmen (Abzug von der bereits geleisteten finanziellen Einbringung). Auch möglich wäre eine Anstellung zu eben diesen Kosten.</t>
        </r>
      </text>
    </comment>
    <comment ref="B41" authorId="0">
      <text>
        <r>
          <rPr>
            <b/>
            <sz val="9"/>
            <color indexed="81"/>
            <rFont val="Tahoma"/>
            <family val="2"/>
          </rPr>
          <t>Michael Schöggl:</t>
        </r>
        <r>
          <rPr>
            <sz val="9"/>
            <color indexed="81"/>
            <rFont val="Tahoma"/>
            <family val="2"/>
          </rPr>
          <t xml:space="preserve">
</t>
        </r>
        <r>
          <rPr>
            <b/>
            <sz val="9"/>
            <color indexed="81"/>
            <rFont val="Tahoma"/>
            <family val="2"/>
          </rPr>
          <t>Wieviel € pro Monat fallen an Kosten für das Geschäftsführergehalt oder die Privatentnahmen durch den Geschäftsführer an?</t>
        </r>
        <r>
          <rPr>
            <sz val="9"/>
            <color indexed="81"/>
            <rFont val="Tahoma"/>
            <family val="2"/>
          </rPr>
          <t xml:space="preserve">
</t>
        </r>
        <r>
          <rPr>
            <u/>
            <sz val="9"/>
            <color indexed="81"/>
            <rFont val="Tahoma"/>
            <family val="2"/>
          </rPr>
          <t xml:space="preserve">
Begründung für diesen Wert</t>
        </r>
        <r>
          <rPr>
            <sz val="9"/>
            <color indexed="81"/>
            <rFont val="Tahoma"/>
            <family val="2"/>
          </rPr>
          <t>:
- In der Praxis kann dieser Wert deutlich niedriger sein, da die Lebenserhaltungskosten nicht unbedingt 2.500 € pro Monat ausmachen, aber für eine vorsichtige Schätzung ist das ein guter Wert.</t>
        </r>
      </text>
    </comment>
    <comment ref="C41"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 pro Quartal steigt das Geschäftsführergehalt bzw. die Privatentnahme ab Erreichen der Gewinnzone?</t>
        </r>
        <r>
          <rPr>
            <sz val="9"/>
            <color indexed="81"/>
            <rFont val="Tahoma"/>
            <family val="2"/>
          </rPr>
          <t xml:space="preserve">
</t>
        </r>
        <r>
          <rPr>
            <u/>
            <sz val="9"/>
            <color indexed="81"/>
            <rFont val="Tahoma"/>
            <family val="2"/>
          </rPr>
          <t>Begründung für diesen Wert</t>
        </r>
        <r>
          <rPr>
            <sz val="9"/>
            <color indexed="81"/>
            <rFont val="Tahoma"/>
            <family val="2"/>
          </rPr>
          <t>:
- Es wäre unglaubwürdig, hier unabhängig vom Erfolg des Unternehmens von gleichbleibenden Kosten auszugehen. 
- Zudem wäre eine repräsentative Vertretung nach Außen hin mit 2500 € eingeschränkter möglich, als mit eine angebrachten Gehalt.</t>
        </r>
      </text>
    </comment>
    <comment ref="A42" authorId="0">
      <text>
        <r>
          <rPr>
            <b/>
            <sz val="9"/>
            <color indexed="81"/>
            <rFont val="Tahoma"/>
            <family val="2"/>
          </rPr>
          <t xml:space="preserve">Michael Schöggl:
</t>
        </r>
        <r>
          <rPr>
            <sz val="9"/>
            <color indexed="81"/>
            <rFont val="Tahoma"/>
            <family val="2"/>
          </rPr>
          <t xml:space="preserve">
Nach unseren Basis-Kosten für Lizenzen etc. wurden ab 2021 weiter 0,01 Cent pro User veranschlagt, um u.a. die steigenden Serverkosten abzubilden. Jeder Server, der pro Monat rund 300 Euro angemietet kostet, kann problemlos mehr als 30.000 User beherrbergen, aber es gibt noch weitere kleinere Kosten wie z.B. den erstmaligen SMS-Versand für die Registrierung, etc.
Kosten in Höhe von 1 Cent pro User und Monat sind insgesamt durchaus realistisch.</t>
        </r>
      </text>
    </comment>
    <comment ref="B42" authorId="0">
      <text>
        <r>
          <rPr>
            <b/>
            <sz val="9"/>
            <color indexed="81"/>
            <rFont val="Tahoma"/>
            <family val="2"/>
          </rPr>
          <t>Michael Schöggl:</t>
        </r>
        <r>
          <rPr>
            <sz val="9"/>
            <color indexed="81"/>
            <rFont val="Tahoma"/>
            <family val="2"/>
          </rPr>
          <t xml:space="preserve">
</t>
        </r>
        <r>
          <rPr>
            <b/>
            <sz val="9"/>
            <color indexed="81"/>
            <rFont val="Tahoma"/>
            <family val="2"/>
          </rPr>
          <t>Mit welchen Fixkosten müssen wir monatlich für Server, Lizenzen und andere userabhängige Kosten rechnen?</t>
        </r>
        <r>
          <rPr>
            <sz val="9"/>
            <color indexed="81"/>
            <rFont val="Tahoma"/>
            <family val="2"/>
          </rPr>
          <t xml:space="preserve">
</t>
        </r>
        <r>
          <rPr>
            <u/>
            <sz val="9"/>
            <color indexed="81"/>
            <rFont val="Tahoma"/>
            <family val="2"/>
          </rPr>
          <t>Begründung für diesen Wert</t>
        </r>
        <r>
          <rPr>
            <sz val="9"/>
            <color indexed="81"/>
            <rFont val="Tahoma"/>
            <family val="2"/>
          </rPr>
          <t xml:space="preserve">:
- Es handelt sich hier um einen Erfahrungswert aufgrund bisherigen Kosten - auch wenn bei 2000 € bereits alle Lizenzenkosten (für Shutterstock, Unity, Cision, Mailworx, etc.) enthalten sind.
- Diese nicht-userabgängigen Lizenzkosten sind nur einmalig zu bezahlen und werden später in den Betriebsausgaben veranschlagt. 
- Dieser Wert soll sich auf (noch nicht vorhandene) userabhängige Lizenzrechte, Service-Kosten (z.B. der SMS-Versand für den Zugangscode bei der Registrierung neuer User) und die bereits bekannten Serverkosten (ca. 300 € pro Monat für einen Server, der locker 300.000 User verwalten kann) beziehen. </t>
        </r>
      </text>
    </comment>
    <comment ref="C42" authorId="0">
      <text>
        <r>
          <rPr>
            <b/>
            <sz val="9"/>
            <color indexed="81"/>
            <rFont val="Tahoma"/>
            <family val="2"/>
          </rPr>
          <t>Michael Schöggl:</t>
        </r>
        <r>
          <rPr>
            <sz val="9"/>
            <color indexed="81"/>
            <rFont val="Tahoma"/>
            <family val="2"/>
          </rPr>
          <t xml:space="preserve">
</t>
        </r>
        <r>
          <rPr>
            <b/>
            <sz val="9"/>
            <color indexed="81"/>
            <rFont val="Tahoma"/>
            <family val="2"/>
          </rPr>
          <t>Wieviel € wird uns jeder User pro Monat für Service, Server und Lizenzrechte kosten?</t>
        </r>
        <r>
          <rPr>
            <sz val="9"/>
            <color indexed="81"/>
            <rFont val="Tahoma"/>
            <family val="2"/>
          </rPr>
          <t xml:space="preserve">
</t>
        </r>
        <r>
          <rPr>
            <u/>
            <sz val="9"/>
            <color indexed="81"/>
            <rFont val="Tahoma"/>
            <family val="2"/>
          </rPr>
          <t>Begründung für diesen Wert</t>
        </r>
        <r>
          <rPr>
            <sz val="9"/>
            <color indexed="81"/>
            <rFont val="Tahoma"/>
            <family val="2"/>
          </rPr>
          <t>:
- Nach unseren Basis-Kosten für Lizenzen etc. wurden ab 2021 weiter 0,01 Cent pro User veranschlagt, um u.a. die steigenden Serverkosten abzubilden. Jeder Server, der pro Monat rund 300 Euro angemietet kostet, kann problemlos mehr als 30.000 User beherrbergen, aber es gibt noch weitere kleinere Kosten wie z.B. den erstmaligen SMS-Versand für die Registrierung, etc.
- Kosten in Höhe von 1 Cent pro User und Monat sind insgesamt realistisch und pessimistisch geschätzt.
- Mittelfristig werden wir Server nicht mehr mieten, sondern selbst anschaffen, aber die Kosten werde als Abschreibposten ungefähr dieselben bleiben (eher sinken als steigen).</t>
        </r>
      </text>
    </comment>
    <comment ref="A43" authorId="0">
      <text>
        <r>
          <rPr>
            <b/>
            <sz val="9"/>
            <color indexed="81"/>
            <rFont val="Tahoma"/>
            <family val="2"/>
          </rPr>
          <t>Michael Schöggl:</t>
        </r>
        <r>
          <rPr>
            <sz val="9"/>
            <color indexed="81"/>
            <rFont val="Tahoma"/>
            <family val="2"/>
          </rPr>
          <t xml:space="preserve">
- Hier werden sämtliche Ausgaben für externe Dienstleister und sonstige Ausgaben (die nicht in die anderen Kategorien passen) subsummiert. 
- U.a. sind das Kosten für outgesourcte Softwareentwicklung, Rechtsberatung, IP-Beratung, allgemeine Unternehmsberatung (z.B. beim Pricing), Marketing-Dienstleistungen, Animation von 3D-Modellen (z.B. virtuelle Haustiere), Homepage-Entwicklung (eigentlich abgeschlossen - nichts, was wir selbst machen), etc.
- Kosten, die im Zuge eines Abos entstehen (z.B. für Shutterstock, Cision, Mailworx, Server, Lizenzen, etc.) werden hier nicht gelistet, sondern in der Kategorie 3.4 Betriebsausgaben, wenn sie unabhängig von der Anzahl unserer User sind, bzw. 3.10, wenn sie mit der Useranzahl mitskalieren. </t>
        </r>
      </text>
    </comment>
    <comment ref="B43" authorId="0">
      <text>
        <r>
          <rPr>
            <b/>
            <sz val="9"/>
            <color indexed="81"/>
            <rFont val="Tahoma"/>
            <family val="2"/>
          </rPr>
          <t>Michael Schöggl:</t>
        </r>
        <r>
          <rPr>
            <sz val="9"/>
            <color indexed="81"/>
            <rFont val="Tahoma"/>
            <family val="2"/>
          </rPr>
          <t xml:space="preserve">
</t>
        </r>
        <r>
          <rPr>
            <b/>
            <sz val="9"/>
            <color indexed="81"/>
            <rFont val="Tahoma"/>
            <family val="2"/>
          </rPr>
          <t xml:space="preserve">
Wieviel Prozent der gesamten Einnahmen werden wir für Outsourcing, externe Dienstleister und sonstige Ausgaben benötigen?</t>
        </r>
        <r>
          <rPr>
            <sz val="9"/>
            <color indexed="81"/>
            <rFont val="Tahoma"/>
            <family val="2"/>
          </rPr>
          <t xml:space="preserve">
</t>
        </r>
        <r>
          <rPr>
            <u/>
            <sz val="9"/>
            <color indexed="81"/>
            <rFont val="Tahoma"/>
            <family val="2"/>
          </rPr>
          <t>Begründung für diesen Wert</t>
        </r>
        <r>
          <rPr>
            <sz val="9"/>
            <color indexed="81"/>
            <rFont val="Tahoma"/>
            <family val="2"/>
          </rPr>
          <t>:
- Gerade zu Beginn werden wir keine Rechtsabteilung oder HR-Abteilung haben, sondern externe Dienstleister für derlei Aufgaben beschäftigen. Auch Marketing-Dienstleistungen sind hier abgebildet.
- Ein Teil unserer Entwicklung wird gerade zu Beginn auch durch Outsourcing abgedeckt, da dieser Weg es ermöglicht, international Experten relativ rasch einzusetzen. Ein eigenes Team aufzubauen, das alle Aufgaben übernimmt, kann einige Monate dauern. 
- Zu Beginn entsprechen 5% der Einnahmen zuzüglich 10.000 € an monatlichen Fixkosten einem Erfahrungswert, der genug Spielraum für Outsourcing lässt.
- Die Kosten pro Quartal steigen kontinuierlich um diese 5% der Einnahmen an, es wird der Wert des vorherigen Quartals entsprechend erhöht. Diese "Mindestkosten" bleiben erhalten.</t>
        </r>
      </text>
    </comment>
    <comment ref="C43"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fallen die prozentualen, einnahmeabhängigen Kosten für externe Dienstleistungen?</t>
        </r>
        <r>
          <rPr>
            <sz val="9"/>
            <color indexed="81"/>
            <rFont val="Tahoma"/>
            <family val="2"/>
          </rPr>
          <t xml:space="preserve">
</t>
        </r>
        <r>
          <rPr>
            <u/>
            <sz val="9"/>
            <color indexed="81"/>
            <rFont val="Tahoma"/>
            <family val="2"/>
          </rPr>
          <t>Begründung für diesen Wert</t>
        </r>
        <r>
          <rPr>
            <sz val="9"/>
            <color indexed="81"/>
            <rFont val="Tahoma"/>
            <family val="2"/>
          </rPr>
          <t>:
- Langfristig werden die Kosten für externe Dienstleister sinken, weil wir eigene Mitarbeiter für derlei Aufgaben beschäftigen werden. Darum wird der Prozentsatz von den Einnahmen im Laufe der Quartale deutlich fallen.
- Dazu kommt, dass unsere Kosten nicht im selben Ausmaß wie unsere Einnahmen ansteigen müssen, weil unsere Einnahmen primär aus neuen Usern resultieren und mehr User nicht zwangsläufig höhere Entwicklungskosten bedeuten müssen.</t>
        </r>
      </text>
    </comment>
    <comment ref="A44" authorId="1">
      <text>
        <r>
          <rPr>
            <b/>
            <sz val="9"/>
            <color indexed="81"/>
            <rFont val="Tahoma"/>
            <family val="2"/>
          </rPr>
          <t>e.com:</t>
        </r>
        <r>
          <rPr>
            <sz val="9"/>
            <color indexed="81"/>
            <rFont val="Tahoma"/>
            <family val="2"/>
          </rPr>
          <t xml:space="preserve">
</t>
        </r>
        <r>
          <rPr>
            <u/>
            <sz val="9"/>
            <color indexed="81"/>
            <rFont val="Tahoma"/>
            <family val="2"/>
          </rPr>
          <t>Informationen zu bezahlter Werbung:</t>
        </r>
        <r>
          <rPr>
            <sz val="9"/>
            <color indexed="81"/>
            <rFont val="Tahoma"/>
            <family val="2"/>
          </rPr>
          <t xml:space="preserve">
- erste Tests zeigen: rund 3 € pro neuem User (= Anmeldung, nicht nur Installation)
- viele Werbevideos sind vorbereitet und es ist einfach, neue zu erstellen: http://bit.ly/2zlcvAl
- wir werden bis Mitte 2020 verschiedenste Marketing-Zugänge austesten und jene mit dem besten Kosten-Nutzen-Verhältnis optimieren und forcieren
- die Kosten pro neuem User sind EXTREM wichtig, da uns jeder User pro Jahr mehr Geld bringt, als kostet und es sich daher lohnt, so viel Geld wie möglich in Werbung zu investieren
- wegen der geringen Fixkosten der Entwicklung (neue Inhalte stammen meist von Partnern!) wird connect alle Werbeausgaben multiplikativ wieder einspielen
- daher wichtigstes Ziel: Werbekosten pro neuem User minimieren und möglichst viel Geld in Werbung zu investieren (wir rechnen mit 30 % der Einnahmen)
- Kreislauf führt zu exponentiellem Wachstum: je mehr User, umso mehr Einnahmen und dadurch immer mehr Werbung (prozentualer Anteil der Einnahmen) - was wieder zu mehr Usern führt... wir gewinnen sehr schnell an Tempo
- bis die Kosten für neue User die Einnahmen übersteigen (weil die primäre Zielgruppe zunehmend ausgeschöpft ist) werden wir uns massiv auf bezahlte Werbung konzentrieren, danach (ca. ab 100+ Mio User) sind unsere multiplikativen Tricks (1.3 bis 1.9) mehr als ausreichend
</t>
        </r>
      </text>
    </comment>
    <comment ref="B44"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Wie viel kostet uns jeder neue User mit bezahlter Werbung? </t>
        </r>
        <r>
          <rPr>
            <sz val="9"/>
            <color indexed="81"/>
            <rFont val="Tahoma"/>
            <family val="2"/>
          </rPr>
          <t xml:space="preserve">
</t>
        </r>
        <r>
          <rPr>
            <u/>
            <sz val="9"/>
            <color indexed="81"/>
            <rFont val="Tahoma"/>
            <family val="2"/>
          </rPr>
          <t>Begründung für diesen Wert:</t>
        </r>
        <r>
          <rPr>
            <sz val="9"/>
            <color indexed="81"/>
            <rFont val="Tahoma"/>
            <family val="2"/>
          </rPr>
          <t xml:space="preserve">
- erste Tests zeigen ca. 3 € Kosten pro neuem User
- entspricht auch den durchschnittlichen Kosten laut mehreren Internetquellen (unten)
- durchschnittliche Kosten pro Installation sind laut Statista 0,44 Dollar bzw. 1,91 $ in den USA und 0,99 $ in Europa laut mobyaffiliates.com (siehe Quellen)
- bis Mitte 2020 testen wir mit geringem Kapital verschiedene Werbekanäle, der Fokus liegt auf Informationsgewinn statt neuen Usern</t>
        </r>
      </text>
    </comment>
    <comment ref="C44"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Absolute Verringerung der Akquirierungskosten pro Quartal in Euro.
</t>
        </r>
        <r>
          <rPr>
            <u/>
            <sz val="9"/>
            <color indexed="81"/>
            <rFont val="Tahoma"/>
            <family val="2"/>
          </rPr>
          <t xml:space="preserve">Begründung für diesen Wert:
</t>
        </r>
        <r>
          <rPr>
            <sz val="9"/>
            <color indexed="81"/>
            <rFont val="Tahoma"/>
            <family val="2"/>
          </rPr>
          <t>- Werbematerial wird immer professioneller.
- Erfahrungen helfen, den Werbezugang zu optimieren. 
- Das Produkt verbessert sich, der Nutzen für den Kunden steigt, wodurch auch mehr auf die Werbung anspringen. 
- Die Werbekosten allgemein sinken eher, als dass sie steigen würden.</t>
        </r>
      </text>
    </comment>
    <comment ref="J44" authorId="0">
      <text>
        <r>
          <rPr>
            <b/>
            <sz val="9"/>
            <color indexed="81"/>
            <rFont val="Tahoma"/>
            <family val="2"/>
          </rPr>
          <t xml:space="preserve">Michael Schöggl:
</t>
        </r>
        <r>
          <rPr>
            <sz val="9"/>
            <color indexed="81"/>
            <rFont val="Tahoma"/>
            <family val="2"/>
          </rPr>
          <t xml:space="preserve">
Durchschnittswert für dieses Jahr.</t>
        </r>
      </text>
    </comment>
    <comment ref="A45" authorId="0">
      <text>
        <r>
          <rPr>
            <b/>
            <sz val="9"/>
            <color indexed="81"/>
            <rFont val="Tahoma"/>
            <family val="2"/>
          </rPr>
          <t xml:space="preserve">Michael Schöggl:
</t>
        </r>
        <r>
          <rPr>
            <sz val="9"/>
            <color indexed="81"/>
            <rFont val="Tahoma"/>
            <family val="2"/>
          </rPr>
          <t xml:space="preserve">
Bis Mitte 2020 machen wir nur erste, günstige Tests mit bezahlter Werbung, um jene Kanäle zu finden, die das besten Kosten-Nutzen-Verhältnis haben (u.a. werden wir AdColony und Vungle testen, aber auch viele komplett andere Zugänge). 
Wenn wir bis Mitte 2020 den für uns besten Zugang gefunden haben, werden wir ihn optimieren und perfektionieren, um möglichst nicht mehr als 3 € pro neuem User an Kosten zu haben. Das sind realistische Erfahrungswerte für kostenlose Apps und Spiele, die sich sicher erreichen lassen, da connect ein breiteres, weniger spezifisches Puplikum anspricht und auch mehr weniger stark umkämpfte Werbezugänge erlaubt, als klassische App-Spiele. Wenn wir dieses Ziel erreichen, werden wir je nach finanzieller Aussicht zwischen 0 und 5.000 € pro Monat in Werbung stecken, bis wir erste Einnahmen haben. Die Prognose rechnet aktuell mit mindestens 5.000 € an Werbekosten pro Monat ab Mitte 2018.
Sobald wir Einnahmen haben, wollen wir rund 30% der Einnahmen in Werbung reinvestieren - jedoch mit einer Obergrenze, die nun willkürlich mit 1.000.000 festgelegt wurde</t>
        </r>
      </text>
    </comment>
    <comment ref="B45" authorId="0">
      <text>
        <r>
          <rPr>
            <b/>
            <sz val="9"/>
            <color indexed="81"/>
            <rFont val="Tahoma"/>
            <family val="2"/>
          </rPr>
          <t>Michael Schöggl:</t>
        </r>
        <r>
          <rPr>
            <sz val="9"/>
            <color indexed="81"/>
            <rFont val="Tahoma"/>
            <family val="2"/>
          </rPr>
          <t xml:space="preserve">
</t>
        </r>
        <r>
          <rPr>
            <b/>
            <sz val="9"/>
            <color indexed="81"/>
            <rFont val="Tahoma"/>
            <family val="2"/>
          </rPr>
          <t xml:space="preserve">Prozentsatz der Einnahmen, die wir pro Monat in bezahlte Werbung stecken. </t>
        </r>
        <r>
          <rPr>
            <sz val="9"/>
            <color indexed="81"/>
            <rFont val="Tahoma"/>
            <family val="2"/>
          </rPr>
          <t xml:space="preserve">
</t>
        </r>
        <r>
          <rPr>
            <u/>
            <sz val="9"/>
            <color indexed="81"/>
            <rFont val="Tahoma"/>
            <family val="2"/>
          </rPr>
          <t>Begründung für diesen Wert:</t>
        </r>
        <r>
          <rPr>
            <sz val="9"/>
            <color indexed="81"/>
            <rFont val="Tahoma"/>
            <family val="2"/>
          </rPr>
          <t xml:space="preserve">
- Dieser Wert hängt natürlich davon ab, wie viel uns jeder neue User tatsächlich kostet und ein Einnahmen bringt. 
- Auf Basis der aktuellen Schätzwerte ist klar, dass jeder User sehr rasch deutlich mehr Geld einbringt, als er kostet - weshalb es solange Sinn für uns macht, möglichst viel Geld in Werbung zu stecken, solange wir ein gutes Verhältnis der Kosten pro neuem User aufrechterhalten können. 
- Irgendwann sind bestimmte Marketingkanäle oder die Zielgruppe erschöpft und bei anderen Zugängen sind die Kosten pro neuem User höher, eventuell zu hoch. Darum gibt es in der Spalte rechts auch einen Grenzwert, wie viel Geld wir maximal pro Monat in bezahlte Werbung stecken sollten.
- Dieser Wert ist absichtlich ein Prozentwert von den Einnahmen, weil wir damit nicht riskieren würden, uns zu stark zu verschulden. 
- Mit entsprechendem Investment könnten wir natürlich auch unabhängig von den Einnahmen deutlich mehr Geld für bezahlte Werbung ausgeben und viel schneller wachsen. Wie die Zahlen in dieser Tabelle und bei vergleichbaren, erfolgreichen Social Networks zeigen (die teilweise Wachstumsraten von mehr als 500% pro Jahr haben - über die ersten 2-4 Jahre hinweg), entwicklen sich die Einnahmen und Userzahlen fast exponentiell, was bedeutet, dass es durchaus Sinn machen würde, den Start gewaltig zu beschleunigen, weil wir dann auch viel schneller in die schwarzen Zahlen kommen. 
- Weil wir x % der Einnahmen in Werbung investieren, ist die Entwicklung der Userzahlen "noch" exponentieller als ohnehin schon, schließlich bekommen wir durch mehr User mehr Einnahmen und investieren einen Teil dieser Einnahmen wieder in die Akquise neuer User. Der Kreislauf dreht sich immer schneller.</t>
        </r>
      </text>
    </comment>
    <comment ref="C45" authorId="0">
      <text>
        <r>
          <rPr>
            <b/>
            <sz val="9"/>
            <color indexed="81"/>
            <rFont val="Tahoma"/>
            <family val="2"/>
          </rPr>
          <t>Michael Schöggl:</t>
        </r>
        <r>
          <rPr>
            <sz val="9"/>
            <color indexed="81"/>
            <rFont val="Tahoma"/>
            <family val="2"/>
          </rPr>
          <t xml:space="preserve">
</t>
        </r>
        <r>
          <rPr>
            <b/>
            <sz val="9"/>
            <color indexed="81"/>
            <rFont val="Tahoma"/>
            <family val="2"/>
          </rPr>
          <t>Obergrenze. Wieviel € sollen maximalen pro Monat für Werbung ausgegeben werden?</t>
        </r>
        <r>
          <rPr>
            <sz val="9"/>
            <color indexed="81"/>
            <rFont val="Tahoma"/>
            <family val="2"/>
          </rPr>
          <t xml:space="preserve">
</t>
        </r>
        <r>
          <rPr>
            <u/>
            <sz val="9"/>
            <color indexed="81"/>
            <rFont val="Tahoma"/>
            <family val="2"/>
          </rPr>
          <t>Begründung für diesen Wert</t>
        </r>
        <r>
          <rPr>
            <sz val="9"/>
            <color indexed="81"/>
            <rFont val="Tahoma"/>
            <family val="2"/>
          </rPr>
          <t xml:space="preserve">:
- Es lassen sich nicht unbegrenzt viele Menschen monatlich mit bezahlter Werbung erreichen, ohne dass die Kosten pro neuem User durch Ineffizienz der Werbezugänge deutlich ansteigen. 
- Der Wert mit 10.000.000 € ist extrem hoch gewählt, weil es für ein Produkt wie connect a.) extrem viele verschiedene Möglichkeiten gibt, effektiv Werbung zu machen, und wir b.) bei den aktuellen Schätzungen auch genügend finanzielle Mittel hätten, um die besten Marketing-Profis weltweit einsetzen zu können.
- Solange uns jeder neue User weniger kostet, als er (mittelfristig) bringt, lohnt es sich, so viel Geld wie möglich in Werbung und Wachstum zu stecken. </t>
        </r>
      </text>
    </comment>
    <comment ref="B46" authorId="0">
      <text>
        <r>
          <rPr>
            <b/>
            <sz val="9"/>
            <color indexed="81"/>
            <rFont val="Tahoma"/>
            <family val="2"/>
          </rPr>
          <t>Michael Schöggl:</t>
        </r>
        <r>
          <rPr>
            <sz val="9"/>
            <color indexed="81"/>
            <rFont val="Tahoma"/>
            <family val="2"/>
          </rPr>
          <t xml:space="preserve">
</t>
        </r>
        <r>
          <rPr>
            <b/>
            <sz val="9"/>
            <color indexed="81"/>
            <rFont val="Tahoma"/>
            <family val="2"/>
          </rPr>
          <t>Wieviel Euro sollen insgesamt für eine "Boost-Kampagne" zu Beginn - d.h. nach dem offiziellem Release Mitte 2020 - ausgegeben werden?</t>
        </r>
        <r>
          <rPr>
            <sz val="9"/>
            <color indexed="81"/>
            <rFont val="Tahoma"/>
            <family val="2"/>
          </rPr>
          <t xml:space="preserve"> 
Verteilung ab Q3 2020 (pro Quartal): 35%, 30%, 20%, 15%
</t>
        </r>
        <r>
          <rPr>
            <u/>
            <sz val="9"/>
            <color indexed="81"/>
            <rFont val="Tahoma"/>
            <family val="2"/>
          </rPr>
          <t>Begründung für diesen Wert</t>
        </r>
        <r>
          <rPr>
            <sz val="9"/>
            <color indexed="81"/>
            <rFont val="Tahoma"/>
            <family val="2"/>
          </rPr>
          <t xml:space="preserve">:
- Je schneller unsere Userzahl </t>
        </r>
        <r>
          <rPr>
            <u/>
            <sz val="9"/>
            <color indexed="81"/>
            <rFont val="Tahoma"/>
            <family val="2"/>
          </rPr>
          <t>zu Beginn</t>
        </r>
        <r>
          <rPr>
            <sz val="9"/>
            <color indexed="81"/>
            <rFont val="Tahoma"/>
            <family val="2"/>
          </rPr>
          <t xml:space="preserve"> wächst, umso früher kommen wir in die Gewinnzone und umso mehr steigert sich auch das Wachstum von connect in den darauffolgenden Monaten. Darum lohnt es sich einen Teil des Investments gleich in bezahlte Werbung zu investieren - sofern die Mittel dafür übrig sind.
- Solange unsicher ist, ob jeder neue User wirklich mehr einbringt, als er kostet, stellt dieses Investment natürlich ein Risiko dar, darum macht diese Kampagne erst dann und nur solange Sinn, bis die Akquirierungskosten durch ein Ausschöpfen dieses Marketingzugangs zu hoch werden. Bevor wir so eine Kampagne starten, müssen wir genaue Zahlen zur Absprungrate und zu den ersten Einnahmen über den In-App-Shop haben, idealerweise auch die Wachstumsraten auf Basis der bereits bestehenden User. Diese Zahlen hier eingegeben erlauben einfache Hochrechnungen, ob sich das Investment lohnt. 
- Der hier eingetragene Betrag wird auf ein Jahr verteilt ausgegeben, davon 35% im 1. Quartal, 30% im 2. Quartal, 20% im 3. Quartal und 15% im 4. Quartal. Umso früher User akquiriert werden, umso stärker beeinflusst das den gesamten zukünftigen Verlauf positiv, aber gleichzeitig ergeben sich dadurch natürlich auch Risiken (z.B. kann der positive Werbeeffekt nicht beliebig weit hochskaliert werden). Das tatsächliche Tempo der Kampagne wird also von den konkreten Zahlen und Erfahrungen bis zu diesem Zeitpunkt abhängig gemacht.</t>
        </r>
      </text>
    </comment>
    <comment ref="A47" authorId="0">
      <text>
        <r>
          <rPr>
            <b/>
            <sz val="9"/>
            <color indexed="81"/>
            <rFont val="Tahoma"/>
            <family val="2"/>
          </rPr>
          <t xml:space="preserve">Michael Schöggl:
</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
</t>
        </r>
      </text>
    </comment>
    <comment ref="A49"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List>
</comments>
</file>

<file path=xl/comments4.xml><?xml version="1.0" encoding="utf-8"?>
<comments xmlns="http://schemas.openxmlformats.org/spreadsheetml/2006/main">
  <authors>
    <author>Michael Schöggl</author>
    <author>e.com</author>
  </authors>
  <commentList>
    <comment ref="B2" authorId="0">
      <text>
        <r>
          <rPr>
            <b/>
            <sz val="9"/>
            <color indexed="81"/>
            <rFont val="Tahoma"/>
            <family val="2"/>
          </rPr>
          <t>Michael Schöggl:</t>
        </r>
        <r>
          <rPr>
            <sz val="9"/>
            <color indexed="81"/>
            <rFont val="Tahoma"/>
            <family val="2"/>
          </rPr>
          <t xml:space="preserve">
- Die realistische Prognose geht von einer Entwicklung nach Plan aus, jedoch basierend auf Vergleichen, recherchierbaren Durchschnittswerten und zumutbaren Herausforderungen. 
- Sie berücksichtigt mögliche Probleme und unvorhersehbare Entwicklungen nicht. 
- Alle verwendeten Werte entsprechen jedoch durchschnittlichen oder eher vorsichtigen Annahmen, die sich durch Vergleiche und statistische Durchschnittswerte stützen lassen. 
- Sie ist nicht optimistisch genug, um auch zukünftige Chancen miteinzubeziehen (z.B. langfristige Geschäftsmodelle), aber auch nicht so pessimistisch, dass sie ganze Geschäftsmodelle komplett als gescheitert annimmt (wie dies z.B. bei der pessimistischen Prognose bzw. beim Worst Case Szenario der Fall ist). 
- Sie stellt unseren besten Versuch dar, eine realistische Prognose zu stellen, die wir einhalten können und die so nahe wie möglich an die Wirklichkeit rankommt - und zwar sehr wohl unter der Annahme, dass sich vieles nicht so gut entwickelt, wie es wünschenswert wäre, jedoch ohne unwahrscheinliche, aber mögliche "Totalausfälle".
- Alle verwendeten Werte lassen sich mit guten Argumenten und statischen Vergleichswerten belegen, auch wenn dies eventuell innerhalb dieses Files nicht gelungen ist. Bezweifelte Werte sollten am besten mündlich besprochen werden, da manche Einschätzungen Wissen voraussetzen, das an dieser Stelle noch nicht ausreichend kommuniziert werden kann/konnte.
- Zusammengefasst: Die realistische Prognose ist grundsätzlich optimistisch und stellt einen Ziel-Plan dar, den wir für einhaltbar und umsetzbar halten. Sie gilt als unser Maßstab, ob wir unsere Ziele wie geplant erreichen können, oder nicht. Sie ignoriert aber allzu negative Entwicklungen ebenso, wie allzu positive, die abseits der Norm sind.
- Dass trotz des Versuchs, realistische Werte zu verwenden, am Ende eine sehr positive Entwicklung mit 4 Mio Usern nach 3 Jahren und 30 Mio € Gewinn resultieren, liegt unserer Meinung nach an den vielen positiven Chancen und Problemlösungen, die connect bietet - sowohl im Marketing, als auch bei den Einnahmen. 
- connect wächst nicht nur mit Mundpropaganda wie viele andere Netzwerke und es finanziert sich auch nicht nur durch Big Data und Werbung (nach vielen Jahren ohne Geschäftsmodell). 
- Wir sind auch der Meinung, dass die unter der Registerkarte "Vergleich Wachstum Mitbewerber" (siehe unten links) angeführten Social Networks die absolute AUSNAHME und nicht der Regelfall sind. Wir gehen nicht davon aus, durch Glück zu einer vergleichbaren Ausnahme zu werden. Sondern wir denken, dass unsere Vorzüge (gerade im Bereich Marketing und Geschäftsmodelle) es uns ermöglichen werden, einen vergleichbaren Erfolg wie LinkedIn zu verzeichnen, auch wenn uns nicht "glückliche, nicht kontrollierbare" Zufälle dazu verhelfen. 
- Ohne unsere mächtigen Vorteile (u.a. 1.3, 1.4, 1.6, 1.7, 1.9 und 2.1 bis 2.8) wäre unsere Prognosen so viel schlechter, dass wir uns in die Reihe der tausenden weniger erfolgreichen Sozialen Netzwerke bzw. Messenger einreihen würden (siehe dazu "Worst Case" unten links, da wurden die meisten Vorzüge einfach weggestrichen).
- Im Leben entscheiden sehr oft glückliche oder unglückliche Zufälle, die man nicht unter Kontrolle hat, über den Erfolg eines Produktes (z.B. der richtige Zeitpunkt oder eine ausreichend hohe Finanzierung, das passende Team, etc.). Aber wir um eine möglichst genaue Prognose abgeben zu können, muss man sich ein Projekt sehr genau ansehen und auch alle Details betrachten (z.B. unsere Besonderheiten fair bewerten), da manche unglückliche Entwicklungen durch Stärken, Strategie, Planung und gute Problemlösungen wieder ausgeglichen werden können. So müssen z.B. nicht all unsere Marketing-Stategien erfolgreich sein oder alle Geschäftsmodelle - es reicht womöglich, wenn eine Marketing-Strategie bzw. ein Geschäftsmodell voll durchschlägt.
- Wir bitten also darum, möglichst ohne das Vorurteile, dass connect nur mit sehr viel "Casino-Glück" so erfolgreich werden kann, wie z.B. LinkedIn, unsere Zahlen zu betrachten. Bitte nehmen Sie sich die Zeit, die Werte kritisch zu prüfen, wir sind sicher, dass auch Sie zum Ergebnis kommen werden, dass connect viel mehr Chancen als Risiken bietet und bei ausreichender Finanzierung garantiert in die sehr lukraktive Gewinnzone kommt. Danke.</t>
        </r>
      </text>
    </comment>
    <comment ref="D2" authorId="0">
      <text>
        <r>
          <rPr>
            <b/>
            <sz val="9"/>
            <color indexed="81"/>
            <rFont val="Tahoma"/>
            <family val="2"/>
          </rPr>
          <t>Michael Schöggl:</t>
        </r>
        <r>
          <rPr>
            <sz val="9"/>
            <color indexed="81"/>
            <rFont val="Tahoma"/>
            <family val="2"/>
          </rPr>
          <t xml:space="preserve">
- </t>
        </r>
        <r>
          <rPr>
            <u/>
            <sz val="9"/>
            <color indexed="81"/>
            <rFont val="Tahoma"/>
            <family val="2"/>
          </rPr>
          <t>In den hell-orange-rosanen Zellen</t>
        </r>
        <r>
          <rPr>
            <sz val="9"/>
            <color indexed="81"/>
            <rFont val="Tahoma"/>
            <family val="2"/>
          </rPr>
          <t xml:space="preserve"> wurden die Werte von Ihrer Schätzung im Register-Tab "Eigene Schätzung" übernommen.
-</t>
        </r>
        <r>
          <rPr>
            <u/>
            <sz val="9"/>
            <color indexed="81"/>
            <rFont val="Tahoma"/>
            <family val="2"/>
          </rPr>
          <t xml:space="preserve"> In den kräftig orangen Zellen</t>
        </r>
        <r>
          <rPr>
            <sz val="9"/>
            <color indexed="81"/>
            <rFont val="Tahoma"/>
            <family val="2"/>
          </rPr>
          <t xml:space="preserve"> können Sie weitere, zusätzliche Schätzwerte eintragen bzw. die bisherigen Werte durch einen zeitlichen Verlauf (z.B. Wachstum oder Reduktion eines Wertes um x pro Quartal) noch genauer spezifizieren.
- In den anderen </t>
        </r>
        <r>
          <rPr>
            <u/>
            <sz val="9"/>
            <color indexed="81"/>
            <rFont val="Tahoma"/>
            <family val="2"/>
          </rPr>
          <t>Register Tabs</t>
        </r>
        <r>
          <rPr>
            <sz val="9"/>
            <color indexed="81"/>
            <rFont val="Tahoma"/>
            <family val="2"/>
          </rPr>
          <t xml:space="preserve"> mit unseren eigenen Schätzwerten (z.B. "Realistisch", "Vorsichtig", etc.) sind diese zwei Spalten (D, E) leer. Wenn Sie dort Schätzwerte händisch eintragen, überschreiben Sie damit temporär unsere Schätzwerte in den zwei Spalten links davon (B, C). So können Sie auch abseits von Ihren Schätzwerten in "Eigene Schätzung" sehr detallierte eigene Prognosen erstellen. 
- </t>
        </r>
        <r>
          <rPr>
            <u/>
            <sz val="9"/>
            <color indexed="81"/>
            <rFont val="Tahoma"/>
            <family val="2"/>
          </rPr>
          <t>Weißer Hintergrund</t>
        </r>
        <r>
          <rPr>
            <sz val="9"/>
            <color indexed="81"/>
            <rFont val="Tahoma"/>
            <family val="2"/>
          </rPr>
          <t xml:space="preserve">: Die Schätzwerte aus den Spalten D und E (bzw. wenn Sie keine gesetzt haben, aus B und C) werden dann für die Berechnung aller Werte in den Spalten rechts (ab F) übernommen. Jedoch NUR für jene, mit farbigem Hintergrund. Die Zellen ab Spalte F, die weißen Hintergrund haben, verlangen, dass Sie händisch Werte eintragen, für sie wird nicht auf Basis von Formeln und den Schätzwerten von B bis E ein Wert ermittelt. Üblicherweise hat das den Grund, dass für diese Quartale andere Zahlen gelten müssen, z.B., weil die App bis Mitte 2020 (d.h. 1. und 2. Quartal 2020) noch nicht fertiggestellt ist und daher viele Schätzwerte deutlich negativer ausfallen werden, als in den Formeln für die Zeit danach. 
- Eigene Schätzwerte können grundsätzlich überall, im gesamten File, eingetragen werden. Keine Zelle wurde gesperrt. Wenn sich darin aber bereits Formeln befunden haben, würden diese dadurch gelöscht werden. Daher empfehlen wir, eine Sicherungskopie des Files anzulegen, oder nur in einem Tab (z.B: "Ergebnis eigene Schätzung") die Zellen durch eigene Werte zu überschreiben. Oder Sie kopieren einen Register-Tab und arbeiten an der Kopie. 
</t>
        </r>
      </text>
    </comment>
    <comment ref="F2" authorId="0">
      <text>
        <r>
          <rPr>
            <b/>
            <sz val="9"/>
            <color indexed="81"/>
            <rFont val="Tahoma"/>
            <family val="2"/>
          </rPr>
          <t>Michael Schöggl:</t>
        </r>
        <r>
          <rPr>
            <sz val="9"/>
            <color indexed="81"/>
            <rFont val="Tahoma"/>
            <family val="2"/>
          </rPr>
          <t xml:space="preserve">
- By Q3 2020 connect will be in the alpha development phase, where many functions are still missing, usability is poor and our users will therefore jump out again quickly. 
- All values up to Q3 2020 cannot be compared with later values, therefore many were entered manually instead of calculated by formula.</t>
        </r>
      </text>
    </comment>
    <comment ref="G2" authorId="0">
      <text>
        <r>
          <rPr>
            <b/>
            <sz val="9"/>
            <color indexed="81"/>
            <rFont val="Tahoma"/>
            <family val="2"/>
          </rPr>
          <t xml:space="preserve">Michael Schöggl:
- </t>
        </r>
        <r>
          <rPr>
            <sz val="9"/>
            <color indexed="81"/>
            <rFont val="Tahoma"/>
            <family val="2"/>
          </rPr>
          <t>By Q3 2020 connect will be in the alpha development phase, where many functions are still missing, usability is poor and our users will therefore jump out again quickly. 
- All values up to Q3 2020 cannot be compared with later values, therefore many were entered manually instead of calculated by formula.</t>
        </r>
      </text>
    </comment>
    <comment ref="A3" authorId="1">
      <text>
        <r>
          <rPr>
            <b/>
            <sz val="9"/>
            <color indexed="81"/>
            <rFont val="Tahoma"/>
            <family val="2"/>
          </rPr>
          <t xml:space="preserve">e.com:
</t>
        </r>
        <r>
          <rPr>
            <sz val="9"/>
            <color indexed="81"/>
            <rFont val="Tahoma"/>
            <family val="2"/>
          </rPr>
          <t xml:space="preserve">
Für den Erfolg von connect sind vor allem die Userzahlen verantwortlich. 
</t>
        </r>
        <r>
          <rPr>
            <u/>
            <sz val="9"/>
            <color indexed="81"/>
            <rFont val="Tahoma"/>
            <family val="2"/>
          </rPr>
          <t>Wachstumsraten der erfolgreichsten Social Networks</t>
        </r>
        <r>
          <rPr>
            <sz val="9"/>
            <color indexed="81"/>
            <rFont val="Tahoma"/>
            <family val="2"/>
          </rPr>
          <t xml:space="preserve">: 
- im dritten Jahr hatten sie bereits mehr als 4 Millionen User (bis zu 355 Mio - WeChat)
- erst ab ca. 600 Millionen Usern weniger Wachstum als 50 % pro Jahr (davor deutlich mehr)
- siehe "Vergleich Wachstum Mitbewerber" (Register-Tab unten links)
</t>
        </r>
        <r>
          <rPr>
            <b/>
            <sz val="9"/>
            <color indexed="81"/>
            <rFont val="Tahoma"/>
            <family val="2"/>
          </rPr>
          <t xml:space="preserve">
Erklärungen:</t>
        </r>
        <r>
          <rPr>
            <sz val="9"/>
            <color indexed="81"/>
            <rFont val="Tahoma"/>
            <family val="2"/>
          </rPr>
          <t xml:space="preserve">
-</t>
        </r>
        <r>
          <rPr>
            <u/>
            <sz val="9"/>
            <color indexed="81"/>
            <rFont val="Tahoma"/>
            <family val="2"/>
          </rPr>
          <t xml:space="preserve"> Summe A</t>
        </r>
        <r>
          <rPr>
            <sz val="9"/>
            <color indexed="81"/>
            <rFont val="Tahoma"/>
            <family val="2"/>
          </rPr>
          <t xml:space="preserve"> (Zeile 8) zählt alle </t>
        </r>
        <r>
          <rPr>
            <u/>
            <sz val="9"/>
            <color indexed="81"/>
            <rFont val="Tahoma"/>
            <family val="2"/>
          </rPr>
          <t>neuen User</t>
        </r>
        <r>
          <rPr>
            <sz val="9"/>
            <color indexed="81"/>
            <rFont val="Tahoma"/>
            <family val="2"/>
          </rPr>
          <t xml:space="preserve"> abzüglich der Sättigung(!) zusammen, die </t>
        </r>
        <r>
          <rPr>
            <u/>
            <sz val="9"/>
            <color indexed="81"/>
            <rFont val="Tahoma"/>
            <family val="2"/>
          </rPr>
          <t>relativ unabhängig von der bisherigen User-Basis neu zu connect kommen</t>
        </r>
        <r>
          <rPr>
            <sz val="9"/>
            <color indexed="81"/>
            <rFont val="Tahoma"/>
            <family val="2"/>
          </rPr>
          <t xml:space="preserve"> (bezahlte Werbung, Medien-Berichte, organische Suche). Ohne diese Zugänge könnten wir zu Beginn nicht ausreichend viele User aufbauen, um über Summe B (Zeile 14) durch die Nutzung aller bisherigen User für Marketing-Maßnahmen prozentual weiter zu wachsen. 
- </t>
        </r>
        <r>
          <rPr>
            <u/>
            <sz val="9"/>
            <color indexed="81"/>
            <rFont val="Tahoma"/>
            <family val="2"/>
          </rPr>
          <t>Summe B</t>
        </r>
        <r>
          <rPr>
            <sz val="9"/>
            <color indexed="81"/>
            <rFont val="Tahoma"/>
            <family val="2"/>
          </rPr>
          <t xml:space="preserve"> (Zeile 14) zählt alle </t>
        </r>
        <r>
          <rPr>
            <u/>
            <sz val="9"/>
            <color indexed="81"/>
            <rFont val="Tahoma"/>
            <family val="2"/>
          </rPr>
          <t>neuen User</t>
        </r>
        <r>
          <rPr>
            <sz val="9"/>
            <color indexed="81"/>
            <rFont val="Tahoma"/>
            <family val="2"/>
          </rPr>
          <t xml:space="preserve"> abzüglich der Sättigung(!) zusammen, die </t>
        </r>
        <r>
          <rPr>
            <u/>
            <sz val="9"/>
            <color indexed="81"/>
            <rFont val="Tahoma"/>
            <family val="2"/>
          </rPr>
          <t>abhängig von der bisherigen User-Basis neu dazukommen</t>
        </r>
        <r>
          <rPr>
            <sz val="9"/>
            <color indexed="81"/>
            <rFont val="Tahoma"/>
            <family val="2"/>
          </rPr>
          <t xml:space="preserve">. Neben Mundpropaganda (1.5) sind das weitere "Tricks" (1.6 bis 1.9), um unsere bestehenden User als Werbebotschafter verwenden zu können.
- Von Summe A und B müssen dann noch unter 1.11 jene User abgezogen werden, die connect wieder verlassen. Wir rechnen hier mit einem einstellbaren Prozentsatz.
</t>
        </r>
        <r>
          <rPr>
            <b/>
            <sz val="9"/>
            <color indexed="81"/>
            <rFont val="Tahoma"/>
            <family val="2"/>
          </rPr>
          <t>Warum wird connect genauso schnell wie die erfolgreichsten Social Networks wachsen?</t>
        </r>
        <r>
          <rPr>
            <sz val="9"/>
            <color indexed="81"/>
            <rFont val="Tahoma"/>
            <family val="2"/>
          </rPr>
          <t xml:space="preserve">
- Andere Netzwerke wachsen meist nur durch bezahlte Werbung oder Mundpropaganda. 
- connect hat mindestens 4 zusätzliche, </t>
        </r>
        <r>
          <rPr>
            <b/>
            <sz val="9"/>
            <color indexed="81"/>
            <rFont val="Tahoma"/>
            <family val="2"/>
          </rPr>
          <t>einzigartige</t>
        </r>
        <r>
          <rPr>
            <sz val="9"/>
            <color indexed="81"/>
            <rFont val="Tahoma"/>
            <family val="2"/>
          </rPr>
          <t xml:space="preserve"> Zugänge mit multiplikativem</t>
        </r>
        <r>
          <rPr>
            <b/>
            <sz val="9"/>
            <color indexed="81"/>
            <rFont val="Tahoma"/>
            <family val="2"/>
          </rPr>
          <t xml:space="preserve"> Schnellball-Effekt</t>
        </r>
        <r>
          <rPr>
            <sz val="9"/>
            <color indexed="81"/>
            <rFont val="Tahoma"/>
            <family val="2"/>
          </rPr>
          <t xml:space="preserve">: 
- 1.3 Medien-Kooperationen durch die Medienschnittstelle: hunderte bis tausende Medien werden über uns kostenlos berichten, unser Erfolg ist auch ihr Erfolg
- 1.6 Multi-Messenger-Anhänge: durch "sent by connect" verbreitet jeder unserer User in seinem gesamten Kontakte-Netzwerk unseren Namen und erklärt auf Nachfrage hin, was connect ist
- 1.7 Multi-Messenger-Sharings in anderen Netzwerken: die Attraktivität von connect wird in Form von (360-Grad)-Videos und Fotos in allen anderen Netzwerken verbreitet
- 1.9 Initialisierte Mundpropaganda: durch unsere einzigartigen Klingeltöne und das Tresor-Mini-Spiele fallen unsere User in der Öffentlichkeit ständig auf
- connect hat mit Release im Jahr 2020 viel mehr zu bieten, als diese anderen Netzwerke bei ihrem Start (Multi-Media, VR, Video-Telefonie, Verschlüsselung, Individualisierung, virtuelles Eigentum, Spiele, virtuelle Haustiere, Multi-Messenger...)
- connect hebt sich sowohl optisch, als auch funktionell komplett von allen Konkurrenten ab, es gibt nichts Vergleichbares; connect ist technologisch führend und sehr verspielt für junge Menschen (VR, virtuelle Haustiere, individualisierbares Zuhause etc.)
- mit dem Multi-Messenger integriert connect die Stärken der anderen Netzwerke in sich selbst
- connect bietet maximalen Datenschutz, allein das ist ein Nutzungsgrund für Millionen Menschen und im Bereich VR ist das Neuland und von noch größerer Bedeutung (weil intimer, persönlicher)
</t>
        </r>
      </text>
    </comment>
    <comment ref="A4" authorId="1">
      <text>
        <r>
          <rPr>
            <b/>
            <sz val="9"/>
            <color indexed="81"/>
            <rFont val="Tahoma"/>
            <family val="2"/>
          </rPr>
          <t xml:space="preserve">e.com:
- </t>
        </r>
        <r>
          <rPr>
            <sz val="9"/>
            <color indexed="81"/>
            <rFont val="Tahoma"/>
            <family val="2"/>
          </rPr>
          <t>Diese Werte können auch manuell für jedes Quartal extra eingetragen werden, sinnvoller ist aber die Berechnung der Multiplikation aus Kosten pro neuem User (1.0) und der Werbeausgaben. Diese Werte daher am besten nicht manuell überschreiben, sondern indirekt durch die Änderungen in 1.0 und 3.12 erreichen.
- Das besondere an diesem Wert: Wir können ihn fast beliebig durch Werbeausgaben hochtreiben (und die Ausgaben werden mittelfristig deutlich unter den Einnahmen liegen), daher erlaubt er hohe Flexibilität. Selbst, wenn connect wider Erwarten nicht "von selbst" zum viralen Hit wird, durch entsprechende finanzielle Nachhilfe lässt sich der Erfolg mit Sicherheit erzielen. 
- Im Gegensatz zu vielen anderen Produkten und speziell VR-Apps hat connect eine fast unbegrenzte Zielgruppe, weil connect auch in 3D oder 2D und auf jedem Gerät erlebt werden kann und daher als maximale Zielgruppe Milliarden Menschen erreichen kann. Viele Menschen verwenden mehrere Soziale Netzwerke parallel zueinander, weshalb auch die Konkurrenz nicht zwingend unseren Erfolg bremsen muss. 
- Aber natürlich müsste der Marketing-Fokus sich auf die 3D-Versionen beziehen, wenn der VR-Markt "ausgeschöpft" sein sollte. Dieser VR-Markt ist aktuell (Ende 2019) noch sehr klein (rund 10 Mio Menschen), wird aber laut Prognosen in den kommenden 2-3 Jahren enorm anwachsen. In diesem Markt mitzuwachsen erlaubt ein besseres Kosten-Nutzen-Verhältnis, als ein Marketing-Fokus auf Nicht-VR-User (hier ist der Wettbewerb stärker und die Zielgruppe weniger Technik-affin), d.h. ein Wachstum abseits von VR wird teurer werden, aber sich wegen unserer vielen Geschäftsmodelle trotzdem noch lohnen.  
- Vermutlich kommt aber connect genau zum richtigen Zeitpunkt heraus, dass der VR-Markt schneller oder genauso schnell wächst, wie connect und wir den klassischen Social Network Markt auch ohne Marketing-Fokus einfach als Bonus mitnehmen können, ohne uns darauf konzentrieren zu müssen. -</t>
        </r>
      </text>
    </comment>
    <comment ref="B4" authorId="0">
      <text>
        <r>
          <rPr>
            <b/>
            <sz val="9"/>
            <color indexed="81"/>
            <rFont val="Tahoma"/>
            <family val="2"/>
          </rPr>
          <t xml:space="preserve">Michael Schöggl:
Diese Wert bitte in 3.13 einstellen, danke!
</t>
        </r>
        <r>
          <rPr>
            <sz val="9"/>
            <color indexed="81"/>
            <rFont val="Tahoma"/>
            <family val="2"/>
          </rPr>
          <t xml:space="preserve">
</t>
        </r>
        <r>
          <rPr>
            <b/>
            <sz val="9"/>
            <color indexed="81"/>
            <rFont val="Tahoma"/>
            <family val="2"/>
          </rPr>
          <t>Prozentsatz der Einnahmen, die wir pro Monat in bezahlte Werbung stecken.</t>
        </r>
        <r>
          <rPr>
            <sz val="9"/>
            <color indexed="81"/>
            <rFont val="Tahoma"/>
            <family val="2"/>
          </rPr>
          <t xml:space="preserve"> 
</t>
        </r>
        <r>
          <rPr>
            <u/>
            <sz val="9"/>
            <color indexed="81"/>
            <rFont val="Tahoma"/>
            <family val="2"/>
          </rPr>
          <t>Begründung für diesen Wert:</t>
        </r>
        <r>
          <rPr>
            <sz val="9"/>
            <color indexed="81"/>
            <rFont val="Tahoma"/>
            <family val="2"/>
          </rPr>
          <t xml:space="preserve">
- Dieser Wert hängt natürlich davon ab, wie viel uns jeder neue User tatsächlich kostet und ein Einnahmen bringt. 
- Auf Basis der aktuellen Schätzwerte ist klar, dass jeder User sehr rasch deutlich mehr Geld einbringt, als er kostet - weshalb es solange Sinn für uns macht, möglichst viel Geld in Werbung zu stecken, solange wir ein gutes Verhältnis der Kosten pro neuem User aufrechterhalten können. 
- Irgendwann sind bestimmte Marketingkanäle oder die Zielgruppe erschöpft und bei anderen Zugängen sind die Kosten pro neuem User höher, eventuell zu hoch. Darum gibt es in der Spalte rechts auch einen Grenzwert, wie viel Geld wir maximal pro Monat in bezahlte Werbung stecken sollten.
- Dieser Wert ist absichtlich ein Prozentwert von den Einnahmen, weil wir damit nicht riskieren würden, uns zu stark zu verschulden. 
- Mit entsprechendem Investment könnten wir natürlich auch unabhängig von den Einnahmen deutlich mehr Geld für bezahlte Werbung ausgeben und viel schneller wachsen. Wie die Zahlen in dieser Tabelle und bei vergleichbaren, erfolgreichen Social Networks zeigen (die teilweise Wachstumsraten von mehr als 500% pro Jahr haben - über die ersten 2-4 Jahre hinweg), entwicklen sich die Einnahmen und Userzahlen fast exponentiell, was bedeutet, dass es durchaus Sinn machen würde, den Start gewaltig zu beschleunigen, weil wir dann auch viel schneller in die schwarzen Zahlen kommen. 
- Weil wir x % der Einnahmen in Werbung investieren, ist die Entwicklung der Userzahlen "noch" exponentieller als ohnehin schon, schließlich bekommen wir durch mehr User mehr Einnahmen und investieren einen Teil dieser Einnahmen wieder in die Akquise neuer User. Der Kreislauf dreht sich immer schneller.</t>
        </r>
      </text>
    </comment>
    <comment ref="C4" authorId="0">
      <text>
        <r>
          <rPr>
            <b/>
            <sz val="9"/>
            <color indexed="81"/>
            <rFont val="Tahoma"/>
            <family val="2"/>
          </rPr>
          <t>Michael Schöggl:
Diesen Wert bitte in 3.13 einstellen, danke.</t>
        </r>
        <r>
          <rPr>
            <sz val="9"/>
            <color indexed="81"/>
            <rFont val="Tahoma"/>
            <family val="2"/>
          </rPr>
          <t xml:space="preserve">
</t>
        </r>
        <r>
          <rPr>
            <b/>
            <sz val="9"/>
            <color indexed="81"/>
            <rFont val="Tahoma"/>
            <family val="2"/>
          </rPr>
          <t xml:space="preserve">Obergrenze. Wieviel € sollen maximalen pro Monat für Werbung ausgegeben werden?
</t>
        </r>
        <r>
          <rPr>
            <u/>
            <sz val="9"/>
            <color indexed="81"/>
            <rFont val="Tahoma"/>
            <family val="2"/>
          </rPr>
          <t>Begründung für diesen Wert</t>
        </r>
        <r>
          <rPr>
            <sz val="9"/>
            <color indexed="81"/>
            <rFont val="Tahoma"/>
            <family val="2"/>
          </rPr>
          <t xml:space="preserve">:
- Es lassen sich nicht unbegrenzt viele Menschen monatlich mit bezahlter Werbung erreichen, ohne dass die Kosten pro neuem User durch Ineffizienz der Werbezugänge deutlich ansteigen. 
- Der Wert mit 10.000.000 € ist extrem hoch gewählt, weil es für ein Produkt wie connect a.) extrem viele verschiedene Möglichkeiten gibt, effektiv Werbung zu machen, und wir b.) bei den aktuellen Schätzungen auch genügend finanzielle Mittel hätten, um die besten Marketing-Profis weltweit einsetzen zu können.
- Solange uns jeder neue User weniger kostet, als er (mittelfristig) bringt, lohnt es sich, so viel Geld wie möglich in Werbung und Wachstum zu stecken. </t>
        </r>
        <r>
          <rPr>
            <sz val="9"/>
            <color indexed="81"/>
            <rFont val="Tahoma"/>
            <family val="2"/>
          </rPr>
          <t xml:space="preserve">
</t>
        </r>
      </text>
    </comment>
    <comment ref="A5" authorId="1">
      <text>
        <r>
          <rPr>
            <b/>
            <sz val="9"/>
            <color indexed="81"/>
            <rFont val="Tahoma"/>
            <family val="2"/>
          </rPr>
          <t xml:space="preserve">e.com:
</t>
        </r>
        <r>
          <rPr>
            <sz val="9"/>
            <color indexed="81"/>
            <rFont val="Tahoma"/>
            <family val="2"/>
          </rPr>
          <t xml:space="preserve">
- Unser Ziel wird es sein, im App-Store-Ranking und auch bei Steam in den Listen ganz weit oben zu landen. Wenn uns das gelingt, erreichen wir allein über die organische Suche (weil connect kostenlos und neuartig ist) zuverlässig tausende neue User pro Monat.
- Bereits wenige Wochen nach der stillen Veröffentlichung - mit einer unfertigen Version, ohne jegliche Marketing-Maßnahmen oder ernste App-Store-Optimierungen wird connect von rund 2000 neuen Usern pro Monat auf Steam heruntergeladen, auch wenn die App als Early Access in praktisch keiner Liste auftaucht (das ändert sich mit dem Release 2020). 
- Auch im Google Play Store erhalten wir täglich zwischen 10 und 50 Downloads, Tendenz steigend. 
- connect wird auch für PlayStation (VR) veröffentlicht und dort ganz sicher - mangels Konkurrenz und weil es kostenlos ist - von den bestehenden rund 400.000 neuen PlayStation-VR-Usern pro Quartal (Tendenz stark steigend) einen mindestens 1-3%igen Anteil der User erreichen können - ohne Werbekosten. Gerade die PlayStation hat ein gewaltiges Potential, weil es hier praktisch keine Alternativen gibt - auch nicht in absehbarer Zukunft. Schon gar keinen Multimessenger, mit dem man Mails, FB-Nachrichten, SMS und mehr schreiben kann. 
- Die Organische Suche über App-Store-Ranking reicht bei manchen Spielen aus, um in wenigen Monaten hunderttausende neue User zu erreichen. Wir werden einen großen Fokus darauf legen, in all diesen "Stores" (für alle unterstütze Geräte) maximale Sichtbarkeit zu erzielen. Die Schätzwerte hier sind also überaus vorsichtig, da connect kostenlos ist, könnte hier deutlich mehr Schwung reinkommen, sobald wir im Ranking ganz oben sind. </t>
        </r>
      </text>
    </comment>
    <comment ref="B5" authorId="0">
      <text>
        <r>
          <rPr>
            <b/>
            <sz val="9"/>
            <color indexed="81"/>
            <rFont val="Tahoma"/>
            <family val="2"/>
          </rPr>
          <t xml:space="preserve">Michael Schöggl:
</t>
        </r>
        <r>
          <rPr>
            <sz val="9"/>
            <color indexed="81"/>
            <rFont val="Tahoma"/>
            <family val="2"/>
          </rPr>
          <t xml:space="preserve">
</t>
        </r>
        <r>
          <rPr>
            <b/>
            <sz val="9"/>
            <color indexed="81"/>
            <rFont val="Tahoma"/>
            <family val="2"/>
          </rPr>
          <t>Um welchen Fixwert steigert sich die Anzahl der neuen User durch organische Suche pro Quartal?</t>
        </r>
        <r>
          <rPr>
            <sz val="9"/>
            <color indexed="81"/>
            <rFont val="Tahoma"/>
            <family val="2"/>
          </rPr>
          <t xml:space="preserve">
</t>
        </r>
        <r>
          <rPr>
            <u/>
            <sz val="9"/>
            <color indexed="81"/>
            <rFont val="Tahoma"/>
            <family val="2"/>
          </rPr>
          <t>Begründung für diesen Wert</t>
        </r>
        <r>
          <rPr>
            <sz val="9"/>
            <color indexed="81"/>
            <rFont val="Tahoma"/>
            <family val="2"/>
          </rPr>
          <t>:
- Die Steigerung liegt u.a. daran, dass wir im Ranking weiter aufsteigen, je mehr Downloads wir erhalten und dadurch viel einfacher zu finden sind. Außerdem werden wir unseren App-Store-Auftritt optimieren (ASO) (u.a. weil wir zunehmend mehr Geld und damit auch Möglichkeiten in durch Outsourcing-Profis haben).
- Für mehr Argumente siehe Spalte rechts.</t>
        </r>
      </text>
    </comment>
    <comment ref="C5" authorId="0">
      <text>
        <r>
          <rPr>
            <b/>
            <sz val="9"/>
            <color indexed="81"/>
            <rFont val="Tahoma"/>
            <family val="2"/>
          </rPr>
          <t xml:space="preserve">Michael Schöggl:
</t>
        </r>
        <r>
          <rPr>
            <sz val="9"/>
            <color indexed="81"/>
            <rFont val="Tahoma"/>
            <family val="2"/>
          </rPr>
          <t xml:space="preserve">
</t>
        </r>
        <r>
          <rPr>
            <b/>
            <sz val="9"/>
            <color indexed="81"/>
            <rFont val="Tahoma"/>
            <family val="2"/>
          </rPr>
          <t>Um wie viel Prozent erhöht sich der Wert pro Quartal?</t>
        </r>
        <r>
          <rPr>
            <sz val="9"/>
            <color indexed="81"/>
            <rFont val="Tahoma"/>
            <family val="2"/>
          </rPr>
          <t xml:space="preserve">
</t>
        </r>
        <r>
          <rPr>
            <u/>
            <sz val="9"/>
            <color indexed="81"/>
            <rFont val="Tahoma"/>
            <family val="2"/>
          </rPr>
          <t>Begründung für diesen Wert</t>
        </r>
        <r>
          <rPr>
            <sz val="9"/>
            <color indexed="81"/>
            <rFont val="Tahoma"/>
            <family val="2"/>
          </rPr>
          <t xml:space="preserve">:
- Die Steigerung wird nicht linear sein (also immer um einen Fixwert pro Quartal mehr), sondern umso stärker zunehmen, je bekannter die App wird und umso weiter sie auch im Ranking aufsteigt. 
- Wenn wir z.B. unter den Top 10 landen, dürfen wir allein dadurch mit Millionen Views pro Monat rechnen und insofern auch problemlos mit mehreren tausend neuen Usern. 
- Bis Ende 2022 sollte uns ein Platz unter den Top 10 für einige wichtige Keywords bzw. Kategorien gelingen. Mit entsprechendem Kapital lässt sich das aber schon viel früher erreichen.
- Wir werden einen starken Fokus auf App-Store-Optimierung legen und auch Zeit und Geld investieren, um auf möglichst vielen Plattformen möglichst einfach gefunden zu werden. Diese Investments sind primär Personalkosten (3.2), weshalb sich eine eigene Darstellung hier nicht lohnt.
- Umso vielseitiger connect (funktionell) wird, umso mehr Keywords passen für die organische Suche und umso höher steigen wir auch bei neuen Keywords im Ranking auf. 
- Wenn Partner oder Medien auf uns mit Links verweisen, beeinflußt das unser Ranking ebenso positiv. 
- Wir werden auch später Usern für (positive) Bewertungen In-App-Gegenleistungen geben, je positiver die Bewertung, umso höher steigen wir im Ranking. 
- Je mehr Downloads wir bereits erzielt haben, umso höher steigen wir im Ranking und umso mehr finden uns durch organische Suche.
- Unser CTO hat ganz alleine Apps programmiert, die mehr als 600 User </t>
        </r>
        <r>
          <rPr>
            <i/>
            <sz val="9"/>
            <color indexed="81"/>
            <rFont val="Tahoma"/>
            <family val="2"/>
          </rPr>
          <t>pro Tag</t>
        </r>
        <r>
          <rPr>
            <sz val="9"/>
            <color indexed="81"/>
            <rFont val="Tahoma"/>
            <family val="2"/>
          </rPr>
          <t xml:space="preserve"> an Downloads ohne irgendwelche Marketing-Maßnahmen allein aufgrund der organischen Suche verzeichnen (d.h. 18.000 im Monat). Unsere Werte hier sind sehr bescheiden.</t>
        </r>
      </text>
    </comment>
    <comment ref="A6" authorId="1">
      <text>
        <r>
          <rPr>
            <b/>
            <sz val="9"/>
            <color indexed="81"/>
            <rFont val="Tahoma"/>
            <family val="2"/>
          </rPr>
          <t xml:space="preserve">e.com:
Violette Marketing-Zugänge sind neuartige Konzepte von connect, die anderen Social Networks nicht zur Verfügung standen, oder zumindest nicht in diesem Ausmaß </t>
        </r>
        <r>
          <rPr>
            <sz val="9"/>
            <color indexed="81"/>
            <rFont val="Tahoma"/>
            <family val="2"/>
          </rPr>
          <t>(z.B. Medien direkt zur Berichterstattung zu motivieren (1.3) bzw. Usern für das Werben neuer User eine interessante Belohnung in Form von limitierten, exklusive In-App-Inhalten wie virtuellen Haustieren, etc. zu geben, die sie auch wirklich wollen (1.8))</t>
        </r>
        <r>
          <rPr>
            <b/>
            <sz val="9"/>
            <color indexed="81"/>
            <rFont val="Tahoma"/>
            <family val="2"/>
          </rPr>
          <t xml:space="preserve">. 
</t>
        </r>
        <r>
          <rPr>
            <sz val="9"/>
            <color indexed="81"/>
            <rFont val="Tahoma"/>
            <family val="2"/>
          </rPr>
          <t xml:space="preserve">
- Ab Q3 in 2020 ist connect fertig und wir werden bis dahin aufgebaute Medien-Kooperationen nutzen, um connect durch Berichterstattung bekannt zu machen.
- Bis dahin werden wir auch genügend Testuser haben, um den Medien unser Thema als berichtenswert zu verkaufen. 
- Manche Medien erreichen Millionen Menschen, wir haben die Kontaktdaten von 200.000 Medien weltweit, denen wir anbieten können, unsere Medienschnittstelle kostenlos verwenden zu können, wenn sie dafür über uns berichten. 
- Zu Beginn wird das Interesse zaghaft sein, aber wenn wir ein paar größere Medien durch persönliche Bemühungen überzeugen konnten, werden rasch immer mehr Medie mehr auf den "Zug aufspringen" und sich die kostenlose Schnittstelle durch Berichterstattung sichern.
- Die Medien müssen regelmäßig für die Schjnittstelle berichten und langfristig werden fast alle Medien ein Interesse haben, weil wir kostenlose neue Kunden bringen, über ein bereits an Fahrt gewinnendes neues Social Network in VR (bzw. die Verwirklichung von Träumen) zu berichten.</t>
        </r>
      </text>
    </comment>
    <comment ref="B6" authorId="0">
      <text>
        <r>
          <rPr>
            <b/>
            <sz val="9"/>
            <color indexed="81"/>
            <rFont val="Tahoma"/>
            <family val="2"/>
          </rPr>
          <t>Michael Schöggl:</t>
        </r>
        <r>
          <rPr>
            <sz val="9"/>
            <color indexed="81"/>
            <rFont val="Tahoma"/>
            <family val="2"/>
          </rPr>
          <t xml:space="preserve">
</t>
        </r>
        <r>
          <rPr>
            <b/>
            <sz val="9"/>
            <color indexed="81"/>
            <rFont val="Tahoma"/>
            <family val="2"/>
          </rPr>
          <t>Von wievielen neuen Usern durch Medienberichte gehen wir zu Beginn aus?</t>
        </r>
        <r>
          <rPr>
            <sz val="9"/>
            <color indexed="81"/>
            <rFont val="Tahoma"/>
            <family val="2"/>
          </rPr>
          <t xml:space="preserve"> (danach nur noch prozentuale Steigerung)
</t>
        </r>
        <r>
          <rPr>
            <u/>
            <sz val="9"/>
            <color indexed="81"/>
            <rFont val="Tahoma"/>
            <family val="2"/>
          </rPr>
          <t>Begründung für diesen Wert:</t>
        </r>
        <r>
          <rPr>
            <sz val="9"/>
            <color indexed="81"/>
            <rFont val="Tahoma"/>
            <family val="2"/>
          </rPr>
          <t xml:space="preserve">
- 100 neue User pro Monat durch Medienberichte sind realistisch, das entspricht ca. 1-2 kleineren Berichten im Monat. Wir haben bereits fixe Zusagen von z.B. der Antenne Steiermark und Kärnten, dass sie mehrmals über uns berichten wollen. 
- Auch gab es vor Veröffentlichung der ersten Testversionen bereits ca. 30 Medienberichte über uns, u.a. vom ORF, Kleine Zeitung, Der Standard, OE24 (3 Berichte) und KroneHit. Leider waren all diese Medienberichte zu früh, die Interessierten hatten noch keine App, die sie probieren konnten, teilweise noch nicht einmal einen Homepage-Link. Wir warten nun absichtlich, bis connect einen guten Eindruck bei allen Testern hinterlässt, bevor wir erneut Zeit und Energie in die Medienberichterstattung stecken. Durch unsere Medienschnittstelle werden wir sehr leicht Berichterstattung erhalten, sobald connect fertiggestellt ist und ein positives Kundenerlebnis gewährleistet.
- Die Kronenzeitung und die Kleine Zeitung haben einer (weiteren) Berichterstattung bereits zugesagt. Rund 15 kleinere VR-Netzwerke haben bereits (lange vor einer testbaren Version und somit fast wirkungslos) berichtet und werden ziemlich sicher wieder berichten.
</t>
        </r>
      </text>
    </comment>
    <comment ref="C6" authorId="0">
      <text>
        <r>
          <rPr>
            <b/>
            <sz val="9"/>
            <color indexed="81"/>
            <rFont val="Tahoma"/>
            <family val="2"/>
          </rPr>
          <t>Michael Schöggl:</t>
        </r>
        <r>
          <rPr>
            <sz val="9"/>
            <color indexed="81"/>
            <rFont val="Tahoma"/>
            <family val="2"/>
          </rPr>
          <t xml:space="preserve">
</t>
        </r>
        <r>
          <rPr>
            <b/>
            <sz val="9"/>
            <color indexed="81"/>
            <rFont val="Tahoma"/>
            <family val="2"/>
          </rPr>
          <t>Um wieviel Prozent der aktuellen Userzahl steigen die neuen User durch Medienberichte pro Monat?</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eher werden Medien über uns berichten wollen. 
- Je mehr User wir haben, umso mehr Medien werden an unserer Medienschnittstelle interessiert sein (und berichten, um sie kostenlos verwenden zu können). 
- Folglich wird dieser Wert auch ohne Kosten für uns mit unserer User-Basis mit anwachsen. 
- 2 % Wachstum pro Monat bedeutet, dass durch die Berichterstattung der Medien unsere Userzahl pro Jahr um nicht ganz 25 % wächst. 
- Dieser Wert ist womöglich viel zu pessimistisch, da es viele Soziale Netzwerke, Spiele oder Trends gibt, die innerhalb kürzester Zeit (nachdem die Medien über sie berichten) "explodieren" (d.h. mehrere hundert bis tausend Prozent Wachstum pro Jahr, bis sie eine gewisse Größe erreicht haben und es keine Zielgruppe mehr für sie gibt). Siehe z.B. Pokemon Go. 
- Im Gegensatz zu anderen Netzwerken bieten wir den Medien für ihre Berichterstattung eine Gegenleistung durch unsere Medienschnittstelle und lassen sie an unserem Erfolg teilhaben.</t>
        </r>
      </text>
    </comment>
    <comment ref="A7" authorId="1">
      <text>
        <r>
          <rPr>
            <b/>
            <sz val="9"/>
            <color indexed="81"/>
            <rFont val="Tahoma"/>
            <family val="2"/>
          </rPr>
          <t xml:space="preserve">e.com:
</t>
        </r>
        <r>
          <rPr>
            <sz val="9"/>
            <color indexed="81"/>
            <rFont val="Tahoma"/>
            <family val="2"/>
          </rPr>
          <t xml:space="preserve">
- Ab 2021 sollten wir genügend User haben, um für Product Placement Partner, Medien-Partner, Online-Shops und Drittanbieter interessant genug zu sein. 
- Ab diesem Zeitpunkt werden diese Anbieter auf ihre eigenen Leistungen in connect hinweisen und dadurch indirekt für uns Werbung machen. Primär gilt dies natürlich für Drittanbieter und verknüpfte Online-Shops, Medien-Berichterstattung wird unter 1.3 extra angeführt und Product Placement Partner werden weniger aktiv sein.</t>
        </r>
      </text>
    </comment>
    <comment ref="B7" authorId="0">
      <text>
        <r>
          <rPr>
            <b/>
            <sz val="9"/>
            <color indexed="81"/>
            <rFont val="Tahoma"/>
            <family val="2"/>
          </rPr>
          <t>Michael Schöggl:</t>
        </r>
        <r>
          <rPr>
            <sz val="9"/>
            <color indexed="81"/>
            <rFont val="Tahoma"/>
            <family val="2"/>
          </rPr>
          <t xml:space="preserve">
</t>
        </r>
        <r>
          <rPr>
            <b/>
            <sz val="9"/>
            <color indexed="81"/>
            <rFont val="Tahoma"/>
            <family val="2"/>
          </rPr>
          <t xml:space="preserve">Von wievielen neuen Usern durch die Werbung unserer Partner </t>
        </r>
        <r>
          <rPr>
            <sz val="9"/>
            <color indexed="81"/>
            <rFont val="Tahoma"/>
            <family val="2"/>
          </rPr>
          <t>(u.a. Online-Shopping, VR-Shops, Drittanbieter, etc.)</t>
        </r>
        <r>
          <rPr>
            <b/>
            <sz val="9"/>
            <color indexed="81"/>
            <rFont val="Tahoma"/>
            <family val="2"/>
          </rPr>
          <t xml:space="preserve"> gehen wir zu Beginn aus?</t>
        </r>
        <r>
          <rPr>
            <sz val="9"/>
            <color indexed="81"/>
            <rFont val="Tahoma"/>
            <family val="2"/>
          </rPr>
          <t xml:space="preserve"> (danach nur noch prozentuale Steigerung)
</t>
        </r>
        <r>
          <rPr>
            <u/>
            <sz val="9"/>
            <color indexed="81"/>
            <rFont val="Tahoma"/>
            <family val="2"/>
          </rPr>
          <t>Begründung für diesen Wert:</t>
        </r>
        <r>
          <rPr>
            <sz val="9"/>
            <color indexed="81"/>
            <rFont val="Tahoma"/>
            <family val="2"/>
          </rPr>
          <t xml:space="preserve">
- Im Gegenzug zu günstigeren Konditionen könnten unsere Partner indirekt für uns werben (z.B. indem sie darauf hinweisen, dass ihre Produkte auch in einem VR-Shop - erreichbar z.B. über connect - gekauft werden können). 
- Drittanbieter werden automatisch auf uns verweisen müssen, um ihre Inhalte verkaufen zu können. 
- Wenn connect erfolgreich wird, werden ähnlich wie bei anderen Netzwerken viele Unternehmen in ihrem Erfolg von uns abhängig - somit werden wir automatisch auch zum Thema von Gesprächen oder Öffentlichkeitsarbeit etc. gemacht.
- Wir rechnen ohnehin erst ab 2021 mit Partnern (auch wenn es bereits fast ein Dutzend konkrete Interessenten gibt), bis dahin ist ein Startwert von 100 sehr realistisch.
- Dieser Wert hast praktisch keine Bedeutung, die Steigerung basiert nur auf dem prozentualen Wert, dieser Wert fließt nur insofern ein, dass er jeden Monat als "Fixwert" miteinfließt.</t>
        </r>
      </text>
    </comment>
    <comment ref="C7" authorId="0">
      <text>
        <r>
          <rPr>
            <b/>
            <sz val="9"/>
            <color indexed="81"/>
            <rFont val="Tahoma"/>
            <family val="2"/>
          </rPr>
          <t xml:space="preserve">Michael Schöggl:
</t>
        </r>
        <r>
          <rPr>
            <sz val="9"/>
            <color indexed="81"/>
            <rFont val="Tahoma"/>
            <family val="2"/>
          </rPr>
          <t xml:space="preserve">
</t>
        </r>
        <r>
          <rPr>
            <b/>
            <sz val="9"/>
            <color indexed="81"/>
            <rFont val="Tahoma"/>
            <family val="2"/>
          </rPr>
          <t>Um wieviel Prozent der aktuellen Userzahl steigen die neuen User durch Medienberichte pro Monat?</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mehr Partner haben wir und umso stärker kommen wir automatisch ins Gespräch oder rücken in die Öffentlichkeit. 
- Vor allem Drittanbieter und VR-Shops sind von uns abhängig, wenn sie für die eigenen Angebote werben wollen, müssen sie indirekt auch für uns werben. Denn kaum ein User lädt eine eigene App herunter, um z.B. im VR-Shop eines regionalen Unternehmens (das er nicht einmal kennt) virtuell einkaufen gehen zu können.
- Ein Wachstum von 0,4 % pro Monat entspricht knapp 5 % Wachstum der gesamten Userzahl pro Jahr aufgrund der indirekten Werbung unserer Partner.
- Wenn Drittanbieter Inhalte anbieten (z.B. virtuelle Haustiere oder alternative VR-Szenen wie das Piratenschiff aus Fluch der Karibik), die sich nur in Verbindung mit connect verwenden lassen (was wir durch Exklusiv-Verträge steigern können), dann muss sich jeder, der diese Inhalte will, zuvor connect holen.</t>
        </r>
      </text>
    </comment>
    <comment ref="A8"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Für eine realistische Einschätzung der Userzahlen-Entwicklung müssen wir von einer Sättigung der Zielgruppe ausgehen, bzw. von einer Zielgruppen-Obergrenze. </t>
        </r>
        <r>
          <rPr>
            <sz val="9"/>
            <color indexed="81"/>
            <rFont val="Tahoma"/>
            <family val="2"/>
          </rPr>
          <t xml:space="preserve">
</t>
        </r>
        <r>
          <rPr>
            <u/>
            <sz val="9"/>
            <color indexed="81"/>
            <rFont val="Tahoma"/>
            <family val="2"/>
          </rPr>
          <t>Wir verwenden 2 Werte</t>
        </r>
        <r>
          <rPr>
            <sz val="9"/>
            <color indexed="81"/>
            <rFont val="Tahoma"/>
            <family val="2"/>
          </rPr>
          <t xml:space="preserve">:
- maximale Zielgruppe bis Ende 2020: Primär VR-User (und Gamer für die 3D-Nutzung), weil sich unser Marketing auf diese Zielgruppe konzentriert; natürlich können wir aber auch darüber hinaus Menschen ansprechen.
- maximale Zielgruppe ab 2021: Alle Social Media bzw. Network und Messenger Nutzer, jedoch nur jene, für die connect - auch OHNE den virtuellen Raum - einen ausreichend großen Mehrwert bietet (Multi-Messenger, Datenschutz, Multimedia, Geräteunabhängigkeit, etc.), schließlich haben wir Konkurrenz und unser Produkt wird selbst dann, wenn wir alles individualisierbar machen und verschiedene Versionen rausbringen, niemals alle Menschen ansprechen können
</t>
        </r>
        <r>
          <rPr>
            <u/>
            <sz val="9"/>
            <color indexed="81"/>
            <rFont val="Tahoma"/>
            <family val="2"/>
          </rPr>
          <t>Erklärung zu den Auswirkungen dieser Werte</t>
        </r>
        <r>
          <rPr>
            <sz val="9"/>
            <color indexed="81"/>
            <rFont val="Tahoma"/>
            <family val="2"/>
          </rPr>
          <t xml:space="preserve">:
- Die Berechnung erfolgt so, dass je stärker sich unsere Userzahlen diesen Grenzwerten nähern, die Akquise neuer User umso unwahrscheinlicher wird.
- Bei 0 Usern und einer Grenze von 300, ist die Akquise-Rate bei 100%. 
- Bei 200 Usern und einer Grenze von 300, ist sie nur noch bei 0,33%.
- Alle Wachstumswerte (bis auf die negativen Absprünge, siehe 1.11) sind von diesem Multiplikator betroffen und sinken entsprechend der Annäherung zur Zielgruppen-Obergrenze immer stärker Richtung 0.
- Diese Berechnungen sind absichtlich sehr vorsichtig und limitierend. Eigentlich wächst der VR Markt laut Prognosen stark an und genau genommen könnten wir langfristig durchaus 2 Milliarden Menschen, bzw. bereits 2021 eine Zielgruppe abseits der VR-User erreichen. Aber unsere Werte sind zu gut um glaubwürdig zu sein, wenn sie nicht mit so einer Obergrenze gebremst werden, daher dieses Korrektiv.
</t>
        </r>
      </text>
    </comment>
    <comment ref="B8" authorId="0">
      <text>
        <r>
          <rPr>
            <b/>
            <sz val="9"/>
            <color indexed="81"/>
            <rFont val="Tahoma"/>
            <family val="2"/>
          </rPr>
          <t xml:space="preserve">Michael Schöggl:
Wie groß ist unsere </t>
        </r>
        <r>
          <rPr>
            <b/>
            <i/>
            <sz val="9"/>
            <color indexed="81"/>
            <rFont val="Tahoma"/>
            <family val="2"/>
          </rPr>
          <t>primäre</t>
        </r>
        <r>
          <rPr>
            <b/>
            <sz val="9"/>
            <color indexed="81"/>
            <rFont val="Tahoma"/>
            <family val="2"/>
          </rPr>
          <t xml:space="preserve"> Zielgruppe, die wir bis Ende 2020 erreichen können? - </t>
        </r>
        <r>
          <rPr>
            <b/>
            <u/>
            <sz val="9"/>
            <color indexed="81"/>
            <rFont val="Tahoma"/>
            <family val="2"/>
          </rPr>
          <t>Bezogen auf Werbezugänge und Medienberichte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Zu Beginn Fokus auf VR-User, weil wir diesen den größten Mehrwert bieten und Gamer eine sehr dankbare, zahlkräftige Zielgruppe sind. 2019 sind das mindestens 10 Millionen User weltweit, die wir über unsere aktuell unterstützten Geräte (Android, HTC Vive, Oculus) und Plattformen (Play Store und Steam) erreichen können.
- Bis Mitte 2020: Fertigstellung der "connect Basic"-Version, d.h. einer nativen Android und iOS Version von connect, die dieselben Funktionen umfasst, aber in einem simplen 2D-Design (vlg. WhatsApp und Co). Diese Version unterstützt dann wirklich alle Smartphones und läuft genauso schnell, wie WhatsApp und Co, mit Fokus auf Multi-Messenger, Multimedia und Verschlüsselung zielt sie auf den konservativeren, weniger verspielten Massenmarkt ab, bis VR sich endgültig durchgesetzt hat.
- Bis Mitte 2020: Fertigstellung der PlayStation-Version und der iOS-Version.
- Bis Ende 2020: Fertigstellung des Multi-Messengers für alle Geräte (inklusive PlayStation und iOS) und alle größeren Netzwerke (u.a. zusätzlich WhatsApp, WeChat, Snapchat, Skype, Twitter, Instagram etc.). 
- Ab 2021 Fokus auf neue Zielgruppe: alle Social Network / Messenger-User weltweit; bis dahin haben wir genug Funktionen (z.B. Multi-Messenger) und Inhalte (z.B. Medien-Inhalte der Partner) um auch den Massenmarkt anzusprechen. Unsere bisherigen VR-/3D-User werden als treue Fans zu Mundpropaganda motiviert (siehe 1.7 bis 1.9).
</t>
        </r>
      </text>
    </comment>
    <comment ref="C8" authorId="0">
      <text>
        <r>
          <rPr>
            <b/>
            <sz val="9"/>
            <color indexed="81"/>
            <rFont val="Tahoma"/>
            <family val="2"/>
          </rPr>
          <t>Michael Schöggl:</t>
        </r>
        <r>
          <rPr>
            <sz val="9"/>
            <color indexed="81"/>
            <rFont val="Tahoma"/>
            <family val="2"/>
          </rPr>
          <t xml:space="preserve">
</t>
        </r>
        <r>
          <rPr>
            <b/>
            <sz val="9"/>
            <color indexed="81"/>
            <rFont val="Tahoma"/>
            <family val="2"/>
          </rPr>
          <t xml:space="preserve">
Wie groß ist unsere </t>
        </r>
        <r>
          <rPr>
            <b/>
            <i/>
            <sz val="9"/>
            <color indexed="81"/>
            <rFont val="Tahoma"/>
            <family val="2"/>
          </rPr>
          <t>primäre</t>
        </r>
        <r>
          <rPr>
            <b/>
            <sz val="9"/>
            <color indexed="81"/>
            <rFont val="Tahoma"/>
            <family val="2"/>
          </rPr>
          <t xml:space="preserve"> Zielgruppe, die wir ab 2020 erreichen können? - </t>
        </r>
        <r>
          <rPr>
            <b/>
            <u/>
            <sz val="9"/>
            <color indexed="81"/>
            <rFont val="Tahoma"/>
            <family val="2"/>
          </rPr>
          <t>Bezogen auf Werbezugänge und Medienberichte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Das internationale Interesse an Social Networks, Social Media, Messenger, VR, neuen Technologien und Apps ist sehr groß, gerade auch was Medienberichte oder die organische Suche im App-Store etc. betrifft. Daher sollte hier genügend "Luft nach oben" für unsere Werbezugänge 1.1 bis 1.4 sein. 
- Wir können langfristig fast allen Medien (Video, Audio, Print, Internet, VR - für praktisch jedes Thema) durch unseren VR-Zugang - bzw. die klassische 2D-Anzeige in einer Multimedia-App - etwas bieten und sie daher auch zur Berichterstattung motivieren.
- Trotzdem werden die Werte realistischer, wenn wir eine Obergrenze von rund 300 Millionen festlegen, da dies ungefähr die Anzahl der Menschen ist, denen connect einen ausreichend großen Mehrwert bietet und die wir mit unserem Design und unseren Funktionen ansprechen. 
- Diese "Bremse" ist aber eigentlich nicht notwendig, denn mit neuen Versionen (z.B. ohne 3D, als klassische 2D-Variante), mehr unterstützten Geräten, maximaler Individualisierbarkeit und zukünftigen, neuen, noch nicht beschriebenen Funktionen können wir unsere Zielgruppe bestimmt schneller weitern, als wir wachsen.</t>
        </r>
      </text>
    </comment>
    <comment ref="J8" authorId="0">
      <text>
        <r>
          <rPr>
            <b/>
            <sz val="9"/>
            <color indexed="81"/>
            <rFont val="Tahoma"/>
            <family val="2"/>
          </rPr>
          <t xml:space="preserve">Michael Schöggl:
</t>
        </r>
        <r>
          <rPr>
            <sz val="9"/>
            <color indexed="81"/>
            <rFont val="Tahoma"/>
            <family val="2"/>
          </rPr>
          <t xml:space="preserve">
Summe neue User durch 1.1 bis 1.4 </t>
        </r>
        <r>
          <rPr>
            <u/>
            <sz val="9"/>
            <color indexed="81"/>
            <rFont val="Tahoma"/>
            <family val="2"/>
          </rPr>
          <t>pro Jahr</t>
        </r>
        <r>
          <rPr>
            <sz val="9"/>
            <color indexed="81"/>
            <rFont val="Tahoma"/>
            <family val="2"/>
          </rPr>
          <t>. Die Werte links davon sind pro Monat und nicht pro Quartal, das hier ist also nicht die Summe der Werte links, sondern das Jahresergebnis.</t>
        </r>
      </text>
    </comment>
    <comment ref="A9" authorId="1">
      <text>
        <r>
          <rPr>
            <b/>
            <sz val="9"/>
            <color indexed="81"/>
            <rFont val="Tahoma"/>
            <family val="2"/>
          </rPr>
          <t xml:space="preserve">e.com:
</t>
        </r>
        <r>
          <rPr>
            <sz val="9"/>
            <color indexed="81"/>
            <rFont val="Tahoma"/>
            <family val="2"/>
          </rPr>
          <t xml:space="preserve">
- Ab Mitte 2020 - wenn connect fertiggestellt ist und seinen versprochenen Mehrwert als geräteunabhängiger Multimessenger, als Multimedia-Zentrum und als VR- bzw. Spiel-Erlebnis beweist - wird auch die Mundpropaganda stark ansteigen. 
- Zu diesem Zeitpunkt wird VR auch ein Trend mit steigendem medialen Interesse sein (u.a. wegen der Offensiven vieler großer Unternehmen und Steven Spielbergs Verfilmung von Ready Player One - das wie eine Vorwegnahme von connect wirkt), was uns in die Hände spielt. 
- Wir rechnen damit, dass jeder User im Laufe eines Jahres im Schnitt genügend anderen Menschen von connect erzählt hat (die Gelegenheit ergibt sich bei Messengern / Social Networks deutlich öfter, als z.B. bei Medikamenten), dass ein weiterer User dadurch gewonnen werden kann. 
- Das ist eine sehr vorsichtige Schätzung. Viele erste VR-User werden Freunden diese neue virtuelle Welt mit Start in connect zeigen (u.a. weil wir eine sehr beeindruckende Grafik und viel Interaktivität und Invididualisierbarkeit haben und jeder gerne zeigt, was er sich "Besonderes" zusammengebaut bzw. erworben hat (z.B. sehr seltene virtuelle Haustiere mit besonderen Kunststücken)).
- Auch der Vergleich mit anderen innovativen Netzwerken wie z.B. Facebook, Twitter oder Instagram zeigt, dass allein durch Mundpropaganda ein Netzwerk auch viel schneller wachsen kann, als in unserer Schätzung. Facebook und Co haben in den ersten Jahren ihre Userzahlen verfünffacht (hier wurden die Absprünge bereits abgezogen) - davon sind unsere Schätzwerte fast um den Faktor 10 entfernt.
- connect ist sehr visuell, lässt sich großartig präsentieren, ist ein Trend-Thema, ein Thema, das fast jeden Menschen betrifft oder zumindest Gesprächsstoff gibt (wenngleich auch negativ, um über diese virtuelle Welten zu schimpfen). 
- Wir werden alles tun, um Usern gute Gründe zu geben, connect herzuzeigen, das ist einer der wichtigsten Foki unserer Entwicklung und dieser zeigt sich auch in den nachfolgenden "Marketing-Tricks", mit denen wir die Mundpropaganda nochmals gezielt anheizen und belohnen können (siehe 1.6 bis 1.9 - als Beispiele). </t>
        </r>
      </text>
    </comment>
    <comment ref="B9" authorId="0">
      <text>
        <r>
          <rPr>
            <b/>
            <sz val="9"/>
            <color indexed="81"/>
            <rFont val="Tahoma"/>
            <family val="2"/>
          </rPr>
          <t>Michael Schöggl:</t>
        </r>
        <r>
          <rPr>
            <sz val="9"/>
            <color indexed="81"/>
            <rFont val="Tahoma"/>
            <family val="2"/>
          </rPr>
          <t xml:space="preserve">
</t>
        </r>
        <r>
          <rPr>
            <b/>
            <sz val="9"/>
            <color indexed="81"/>
            <rFont val="Tahoma"/>
            <family val="2"/>
          </rPr>
          <t>Um wieviel Prozent pro Monat wächst unsere Userzahl allein durch Mundpropaganda?</t>
        </r>
        <r>
          <rPr>
            <sz val="9"/>
            <color indexed="81"/>
            <rFont val="Tahoma"/>
            <family val="2"/>
          </rPr>
          <t xml:space="preserve">
</t>
        </r>
        <r>
          <rPr>
            <u/>
            <sz val="9"/>
            <color indexed="81"/>
            <rFont val="Tahoma"/>
            <family val="2"/>
          </rPr>
          <t>Begründung für diesen Wert:</t>
        </r>
        <r>
          <rPr>
            <sz val="9"/>
            <color indexed="81"/>
            <rFont val="Tahoma"/>
            <family val="2"/>
          </rPr>
          <t xml:space="preserve">
- connect spricht eine sehr breite Zielgruppe an, weil es jedes Gerät unterstützt, in 2D, 3D oder VR verwendbar ist und klassische menschliche Grundbedürfnisse (Erhöhung des Sozialstatus, Unterhaltung, Kommunikation, Anerkennung, Aufmerksamkeit, Kontrolle, Sicherheit etc.) befriedigt. Darauf liegt unser Fokus, siehe Businessplan. 
- connect ist neuartig und technisch modern genug, um ein spannendes Thema im Freundeskreis zu sein. Es hebt sich komplett von anderen Netzwerken ab und Menschen zeigen gerne Neuheiten her, anstatt bereits bekannte oder vertraute Dinge.
- Das Interesse an VR wird in den nächsten Monaten mit immer besserer Hardware weiter zunehmen, wir wachsen hier mit. Der gedankliche und damit auch sprachliche Sprung von VR zum virtuellen Zuhause ist nicht weit, zumal wir auch ein Netzwerk für alle VR-Inhalte aufbauen wollen.
- Ein virtuelles Zuhause, virtuelle Haustiere und ein möglichst realistisches VR-Erlebnis sind Themen, die viele Menschen bewegen.
- In connect baut sich der User seine eigene Welt auf und "investiert" in die Erhöhung seines Sozialstatus durch limitierte, besondere Inhalte. Diese will er seinen Freunden zeigen, er will damit angeben.
- Ein Wert von ca. 6 % würde bedeuten, dass im Laufe eines Jahres ein connect User einen weiteren Menschen durch Mundpropaganda für uns gewinnen konnte. Das ist sehr realistisch, weil unsere User viel Zeit in connect verbringen werden (für Spiele, virtuelle Haustiere, Kommunikation, Multimedia und VR-Erlebnisse). Je bedeutsamer connect für die User wird (durch z.B. exklusive Inhalte), umso mehr werden sie es anderen zeigen.</t>
        </r>
      </text>
    </comment>
    <comment ref="C9"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Prozent pro Quartal sinkt/steigt das monatliche Wachstum durch Mundpropaganda?</t>
        </r>
        <r>
          <rPr>
            <sz val="9"/>
            <color indexed="81"/>
            <rFont val="Tahoma"/>
            <family val="2"/>
          </rPr>
          <t xml:space="preserve">
</t>
        </r>
        <r>
          <rPr>
            <u/>
            <sz val="9"/>
            <color indexed="81"/>
            <rFont val="Tahoma"/>
            <family val="2"/>
          </rPr>
          <t>Begründung für diesen Wert:</t>
        </r>
        <r>
          <rPr>
            <sz val="9"/>
            <color indexed="81"/>
            <rFont val="Tahoma"/>
            <family val="2"/>
          </rPr>
          <t xml:space="preserve">
- Umso mehr connect zu bieten hat, umso wahrscheinlicher werden unsere User es ihren Freunden zeigen - und viele besondere Funktionen (z.B. Zugang zu VR-Shops, Avatare, ganze VR-Welten, komplett neue Szenen, neue VR-Haustiere, etc.) werden erst nach und nach hinzukommen, u.a. durch Drittanbieter oder (Medien-)Partner.
- Je größer connect wird, umso "sicherer" fühlen sich Menschen darin, es anderen zu zeigen. Keiner will riskieren, etwas toll zu finden, was unbekannt ist und damit so wirkt, als würde es kaum jemandem gefallen (außer es ist offensichtlich ein Geheimtipp und noch ganz neu). 
- Viele Themen in connect - z.B. VR - sind Trends, die in den nächsten Monaten ansteigen werden.</t>
        </r>
      </text>
    </comment>
    <comment ref="A10" authorId="1">
      <text>
        <r>
          <rPr>
            <b/>
            <sz val="9"/>
            <color indexed="81"/>
            <rFont val="Tahoma"/>
            <family val="2"/>
          </rPr>
          <t xml:space="preserve">e.com
- </t>
        </r>
        <r>
          <rPr>
            <sz val="9"/>
            <color indexed="81"/>
            <rFont val="Tahoma"/>
            <family val="2"/>
          </rPr>
          <t xml:space="preserve">Von connect aus lassen sich bereits jetzt SMS und Faceboo-Nachrichten lesen und schreiben, Mails sind fast abgeschlossen, viele weitere, andere Netzwerke werden in rascher Abfolge (ca. ein Netzwerk pro Monat zu rund 10.000 Euro kosten) folgen. 
- Immer, wenn unsere User den Multimessenger verwenden, um Nachrichten zu schreiben oder Fotos, Videos, Sprachaufzeichnungen, eigenen connect-Sticker, connect-Emoties oder ähnliches in andere Netzwerke zu schicken, wird bei der ersten Nachricht der Anhang "send by connect" andere Menschen auf unser Netzwerk aufmerksam machen. 
- Unser User werden aber auch die geposteten Fotos ihrer Freunde an den Wänden ihres virtuellen Zuhause angezeigt bekommen, die Videos in einem eigenen "Freunde-Video-Kanal" am virtuellen Fernseher und ähnliches. Umgekehrt genauso - die Inhalte aus connect kann man allesamt in andere Netzwerke teilen, z.B. die Links zu Medieninhalten, Screenshots oder Videos (auch in 360 Grad), exklusive Inhalte (wie Haustiere, Spiele, Deko, alternative Szenen etc.). 
- Somit werden connect-fremde Menschen auf unser Netzwerk aufmerksam gemacht, ohne das dies Kosten verursachen würde. 
- Wir rechnen daher selbst bei vorsichtigster Schätzung, dass pro aktivem User im Laufe eines Jahres ein weiterer dazu kommt. Mit etwas "Glück" (richtiges Thema zum richtigen Zeitpunkt, etc.) könnte jeder User sogar hunderte Freunde auf connect aufmerksam machen, indem er ganz einfach connect-Inhalte (wie z.B. 360-Grad-Videos) z.B. auf Facebook teilt. 
- Punkt 1.6 beschreibt, dass wir dieses für uns nützliche Verhalten gezielt fördern und belohnen werden (z.B. durch Wettbewerbe), um diesen kostenlosen Zugang maximal auszunutzen. Wie schnell ein Thema viral werden kann und um die ganze Welt geht, haben genügend andere bewiesen - unser Ziel ist es, diese Mechanismen so gut wie möglich zu kopieren und automatisieren. 
- Der Multimessenger ist hierbei so nützlich, dass fast jeder User ihn immer wieder verwenden wird, selbst, wenn er ansonsten sich mit Postings etc. eher zurückhält. </t>
        </r>
      </text>
    </comment>
    <comment ref="B10" authorId="0">
      <text>
        <r>
          <rPr>
            <b/>
            <sz val="9"/>
            <color indexed="81"/>
            <rFont val="Tahoma"/>
            <family val="2"/>
          </rPr>
          <t>Michael Schöggl:</t>
        </r>
        <r>
          <rPr>
            <sz val="9"/>
            <color indexed="81"/>
            <rFont val="Tahoma"/>
            <family val="2"/>
          </rPr>
          <t xml:space="preserve">
</t>
        </r>
        <r>
          <rPr>
            <b/>
            <sz val="9"/>
            <color indexed="81"/>
            <rFont val="Tahoma"/>
            <family val="2"/>
          </rPr>
          <t>Um wieviel Prozent pro Monat steigt die Anzahl unserer User durch unseren Multimessenger-Anhang "sent by connect"?</t>
        </r>
        <r>
          <rPr>
            <sz val="9"/>
            <color indexed="81"/>
            <rFont val="Tahoma"/>
            <family val="2"/>
          </rPr>
          <t xml:space="preserve">
</t>
        </r>
        <r>
          <rPr>
            <u/>
            <sz val="9"/>
            <color indexed="81"/>
            <rFont val="Tahoma"/>
            <family val="2"/>
          </rPr>
          <t>Begründung für diesen Wert:</t>
        </r>
        <r>
          <rPr>
            <sz val="9"/>
            <color indexed="81"/>
            <rFont val="Tahoma"/>
            <family val="2"/>
          </rPr>
          <t xml:space="preserve">
- Dieser Zugang bezieht sich nicht nur auf den Text-Anhang "sent by connect" sondern ganz speziell auch darauf, dass unsere User z.B. connect-Inhalte wie dessen Sticker, Screenshots, Medien-Inhalte etc. in andere Netzwerke wie z.B. Facebook schicken können. Je "verknüpfter" connect ist, umso mehr Aufsehen wird jeder User automatisch in anderen Netzwerken durch die Verwendung erregen.
- Ein Wert von 8,4 % würde bedeuten, dass ein durchschnittlicher connect-User einen weiteren User pro Jahr anlockt, weil er hunderte Nicht-connect-Kontakte monatlich anschreibt (z.B. per Mail, SMS oder FB-Nachricht) und dabei einer neugierig genug wird, um connect selbst auszuprobieren (z.B. aufgrund der Info des connect-Users, dass er mit diesem Multi-Messenger Nachrichten in verschiedene Netzwerke schicken kann oder aufgrund der tollen Sticker, Screenshots (z.B. vom virtuellen Haustier) oder ähnliches).
- Die beste Werbung ist und bleibt persönliche Empfehlung und diese stoßen wir dadurch an, dass der Empfänger einer "sent by connect" Nachricht - vor allem, wenn er von verschiedenen Freunden über verschiedene Netzwerke solche Nachrichten bekommt - irgendwann nachfragen wird, worum es sich hierbei handelt. Und der Sender wird dann - um seinen Selbstwert zu wahren und seine Entscheidung zu rechtfertigen - auch connect positiv beschreiben und z.B. auf den Mehrwert des Multi-Messengers hinweisen. "Was du kennst connect nicht? Lebst du hinterm Mond?"</t>
        </r>
      </text>
    </comment>
    <comment ref="C10"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Prozent pro Quartal sinkt/steigt die monatliche Wachstumsrate von connect durch den Multi-Messenger-Anhang "sent by connect" oder die verschickten Inhalte?</t>
        </r>
        <r>
          <rPr>
            <sz val="9"/>
            <color indexed="81"/>
            <rFont val="Tahoma"/>
            <family val="2"/>
          </rPr>
          <t xml:space="preserve">
</t>
        </r>
        <r>
          <rPr>
            <u/>
            <sz val="9"/>
            <color indexed="81"/>
            <rFont val="Tahoma"/>
            <family val="2"/>
          </rPr>
          <t>Begründung für diesen Wert:</t>
        </r>
        <r>
          <rPr>
            <sz val="9"/>
            <color indexed="81"/>
            <rFont val="Tahoma"/>
            <family val="2"/>
          </rPr>
          <t xml:space="preserve">
- Wenn ein User regelmäßig durch die Nachrichten seiner Freunde auf connect aufmerksam gemacht wird, dann kennt er diesen Anhang bereits und somit auch connect. Je später dieser Werbezugang kommt, umso wahrscheinlicher hat der Empfänger bereits Bekanntschaft gemacht und einfach kein Interesse an connect - weshalb dieser Wert negativ ist, der Werbeeffekt also nachlässt. 
- Gegenzurechnen ist, dass unser Multi-Messenger immer mehr andere Netzwerke integrieren wird und damit auch Menschen aus neuen Netzwerken erreicht. Außerdem werden unsere User immer mehr Inhalte über den Multi-Messenger in andere Netzwerke schicken können. Trotzdem: Vorsichtig gedacht wird der Effekt eher rückläufig sein, als anzuwachsen. </t>
        </r>
      </text>
    </comment>
    <comment ref="A11" authorId="1">
      <text>
        <r>
          <rPr>
            <b/>
            <sz val="9"/>
            <color indexed="81"/>
            <rFont val="Tahoma"/>
            <family val="2"/>
          </rPr>
          <t xml:space="preserve">e.com:
</t>
        </r>
        <r>
          <rPr>
            <sz val="9"/>
            <color indexed="81"/>
            <rFont val="Tahoma"/>
            <family val="2"/>
          </rPr>
          <t xml:space="preserve">
- Das Bedürfnis vieler Menschen etwas besonderes zu besitzen oder (virtuelle) Erfolge (z.B. in Spielen) zu erzielen, bzw. ihren Status durch limitierte Besitztümer zu erhöhen, ist - wie Vergleiche mit der ganzen Spielebranche zeigen - gewaltig. 
- Auch innerhalb der connect-User wird es einen großen Anteil jener Nutzer geben, die sich durch limitierte Belohnungen mit Prestige-Wert (z.B. Pokale mit Namensgravur, extrem seltene virtuelle Haustiere, die sich verkaufen, züchten oder tauschen lassen, alternative virtuelle Wohnräume wie das Oval Office oder besondere Deko-Objekte, etc.) dazu motivieren lassen werden, im Zuge eines Wettbewerbs, einer "täglichen Quest", eines "Erfolges", etc. Verhalten zu zeigen, das uns bekannter macht. 
- Bei einem Wettbewerb könnten z.B. die besten 360-Grad-Videos aus dem virtuellen Zuhause (meiste Likes auf FB), die ausgefallenste Individualisierung (z.B. mit eigenen Fotos als Textur, wodurch man z.B. den Boden mit den Gesichtern der Freunde zupflastern kann) oder sogar selbst erstellte neue und öffentlich geteilte Inhalte wie Schriftarten, Klingeltöne, künstlerische Bilder für die virtuelle Wand, Haustier-Fell-Skins oder ähnliches mit Titeln, virtuellen Belohnungen oder "Adjektiven" honoriert werden. 
- Wir bauen dadurch eine Online-Community auf, die auf connect aufmerksam macht, z.B. ganz direkt durch tausende YouTube-Videos. Kürzlich hat ein indonesischer Sänger bei einem Wettbewerb für die 3 besten Cover-Songs innerhalb einer Woche einen Gewinn von 7000 Euro versprochen - und nur wenige Tage später gab es mehrere tausend Covers von ihm. Unsere Belohnungen werden durch die Rarität für manche User einen enormen Wert haben, ohne für uns relevante Kosten dazustellen. </t>
        </r>
      </text>
    </comment>
    <comment ref="A12" authorId="1">
      <text>
        <r>
          <rPr>
            <b/>
            <sz val="9"/>
            <color indexed="81"/>
            <rFont val="Tahoma"/>
            <family val="2"/>
          </rPr>
          <t xml:space="preserve">e.com:
</t>
        </r>
        <r>
          <rPr>
            <sz val="9"/>
            <color indexed="81"/>
            <rFont val="Tahoma"/>
            <family val="2"/>
          </rPr>
          <t xml:space="preserve">
- Wir werden ganz direkt das Teilen unserer Werbevideos auf Facebook und Co, sowie das Werben von Freunden mit stark limitierten virtuellen Besitztümern belohnen. 
- Diese sind nur eine bestimmte Zeit lang verfügbar (z.B. einen Monat), danach gibt es eine neue Belohnung, um denselben User zu motivieren, einen weiteren Freund anzuwerben. 
- Diese Belohnungen sind tauschbar, verkaufbar und könnten auch "sammelbare" Sets bilden (z.B. das Haustier "Eulenbaby" in den verschiedensten Farben/Fellen, damit der Aufwand für uns minimal ist). 
- Jede zu offensichtliche oder offensive Werbung kann sich auch negativ auf das Image auswirken, daher ist dieser Zugang nur eine weitere Möglichkeit, wenn die anderen Wege nicht erfolgreich genug sein sollten. </t>
        </r>
      </text>
    </comment>
    <comment ref="A13" authorId="1">
      <text>
        <r>
          <rPr>
            <b/>
            <sz val="9"/>
            <color indexed="81"/>
            <rFont val="Tahoma"/>
            <family val="2"/>
          </rPr>
          <t xml:space="preserve">e.com:
</t>
        </r>
        <r>
          <rPr>
            <sz val="9"/>
            <color indexed="81"/>
            <rFont val="Tahoma"/>
            <family val="2"/>
          </rPr>
          <t xml:space="preserve">
- Wir haben ganz bewusst viele Inhalte in connect geschaffen, die dafür sorgen, dass unsere User in der Öffentlichkeit auffallen werden.
- U.a. sind das realistische Klingeltöne (Münze fällt, Dose öffnen, Schluckauf, Gelsensurren, etc.), die z.B. auf öffentlichen Plätzen oder in den öffentlichen Verkehrsmitteln Aufmerksamkeit erregen. 
- Auch praktisch fertiggestellt ist ein versteckter, virtueller Tresor, der sich durch das Drehen des Smartphones (= Drehen des Drehknaufs) nach vielen Stunden knacken lässt. Manche unserer User werden öffentlich auffallen, gefragt werden und dann (stolz) connect präsentieren. 
- Dieser Zugang kostet uns ebenso wie die bisherigen nur Entwicklungsaufwand und kann mit der Userbasis gewaltig skalieren und schnell für mehr Sichtbarkeit sorgen.
- Es gibt noch rund 5 weitere Tricks, die nun nicht alle aufgezählt werden sollen. 
- Wir wollen es so schwer wie möglich machen, connect zu nutzen, ohne dass regelmäßig andere Menschen darauf aufmerksam werden.
- Fast alle dieser Tricks und Zugänge sowie der Belohnungen sind bereits fertig oder kurz vor Fertigstellung, ihr Effekt wird uns aber kontinuierlich neue User ohne weitere Kosten bringen.</t>
        </r>
      </text>
    </comment>
    <comment ref="A14" authorId="0">
      <text>
        <r>
          <rPr>
            <b/>
            <sz val="9"/>
            <color indexed="81"/>
            <rFont val="Tahoma"/>
            <family val="2"/>
          </rPr>
          <t xml:space="preserve">Michael Schöggl:
</t>
        </r>
        <r>
          <rPr>
            <sz val="9"/>
            <color indexed="81"/>
            <rFont val="Tahoma"/>
            <family val="2"/>
          </rPr>
          <t xml:space="preserve">
</t>
        </r>
        <r>
          <rPr>
            <b/>
            <sz val="9"/>
            <color indexed="81"/>
            <rFont val="Tahoma"/>
            <family val="2"/>
          </rPr>
          <t>Für eine realistische Einschätzung der Userzahlen-Entwicklung müssen wir von einer Sättigung der Zielgruppe ausgehen, bzw. von einer Zielgruppen-Obergrenze</t>
        </r>
        <r>
          <rPr>
            <sz val="9"/>
            <color indexed="81"/>
            <rFont val="Tahoma"/>
            <family val="2"/>
          </rPr>
          <t xml:space="preserve">. 
</t>
        </r>
        <r>
          <rPr>
            <b/>
            <sz val="9"/>
            <color indexed="81"/>
            <rFont val="Tahoma"/>
            <family val="2"/>
          </rPr>
          <t>Wir verwenden 2 Werte:</t>
        </r>
        <r>
          <rPr>
            <sz val="9"/>
            <color indexed="81"/>
            <rFont val="Tahoma"/>
            <family val="2"/>
          </rPr>
          <t xml:space="preserve">
- </t>
        </r>
        <r>
          <rPr>
            <u/>
            <sz val="9"/>
            <color indexed="81"/>
            <rFont val="Tahoma"/>
            <family val="2"/>
          </rPr>
          <t>maximale Zielgruppe bis Ende 2020</t>
        </r>
        <r>
          <rPr>
            <sz val="9"/>
            <color indexed="81"/>
            <rFont val="Tahoma"/>
            <family val="2"/>
          </rPr>
          <t xml:space="preserve">: Primär VR-User (und Gamer für die 3D-Nutzung), weil sich unser Marketing auf diese Zielgruppe konzentriert; natürlich können wir aber auch darüber hinaus Menschen ansprechen.
- </t>
        </r>
        <r>
          <rPr>
            <u/>
            <sz val="9"/>
            <color indexed="81"/>
            <rFont val="Tahoma"/>
            <family val="2"/>
          </rPr>
          <t>maximale Zielgruppe ab 2021</t>
        </r>
        <r>
          <rPr>
            <sz val="9"/>
            <color indexed="81"/>
            <rFont val="Tahoma"/>
            <family val="2"/>
          </rPr>
          <t xml:space="preserve">: Alle Social Media bzw. Network und Messenger Nutzer, jedoch nur jene, für die connect - auch OHNE den virtuellen Raum - einen ausreichend großen Mehrwert bietet (Multi-Messenger, Datenschutz, Multimedia, Geräteunabhängigkeit, etc.), schließlich haben wir Konkurrenz und unser Produkt wird selbst dann, wenn wir alles individualisierbar machen und verschiedene Versionen rausbringen, niemals alle Menschen ansprechen können
</t>
        </r>
        <r>
          <rPr>
            <b/>
            <sz val="9"/>
            <color indexed="81"/>
            <rFont val="Tahoma"/>
            <family val="2"/>
          </rPr>
          <t>Erklärung zu den Auswirkungen dieser Werte:</t>
        </r>
        <r>
          <rPr>
            <sz val="9"/>
            <color indexed="81"/>
            <rFont val="Tahoma"/>
            <family val="2"/>
          </rPr>
          <t xml:space="preserve">
- Die Berechnung erfolgt so, dass je stärker sich unsere Userzahlen diesen Grenzwerten nähern, die Akquise neuer User umso unwahrscheinlicher wird.
- Bei 0 Usern und einer Grenze von 300, ist die Akquise-Rate bei 100%. 
- Bei 200 Usern und einer Grenze von 300, ist sie nur noch bei 0,33%.
- Alle Wachstumswerte (bis auf die negativen Absprünge, siehe 1.11) sind von diesem Multiplikator betroffen und sinken entsprechend der Annäherung zur Zielgruppen-Obergrenze immer stärker Richtung 0.</t>
        </r>
      </text>
    </comment>
    <comment ref="B14" authorId="0">
      <text>
        <r>
          <rPr>
            <b/>
            <sz val="9"/>
            <color indexed="81"/>
            <rFont val="Tahoma"/>
            <family val="2"/>
          </rPr>
          <t xml:space="preserve">Michael Schöggl:
Wie groß ist unsere </t>
        </r>
        <r>
          <rPr>
            <b/>
            <i/>
            <sz val="9"/>
            <color indexed="81"/>
            <rFont val="Tahoma"/>
            <family val="2"/>
          </rPr>
          <t>primäre</t>
        </r>
        <r>
          <rPr>
            <b/>
            <sz val="9"/>
            <color indexed="81"/>
            <rFont val="Tahoma"/>
            <family val="2"/>
          </rPr>
          <t xml:space="preserve"> Zielgruppe, die wir bis Ende 2020 erreichen können? - </t>
        </r>
        <r>
          <rPr>
            <b/>
            <u/>
            <sz val="9"/>
            <color indexed="81"/>
            <rFont val="Tahoma"/>
            <family val="2"/>
          </rPr>
          <t>Bezogen auf Viral-Marketing-Zugänge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Zu Beginn Fokus auf VR-User, weil wir diesen den größten Mehrwert bieten und Gamer eine sehr dankbare, zahlkräftige Zielgruppe sind. 2019 sind das mindestens 10 Millionen User weltweit, die wir über unsere aktuell unterstützten Geräte (Android, HTC Vive, Oculus) und Plattformen (Play Store und Steam) erreichen können.
- Bis Mitte 2020: Fertigstellung der "connect Basic"-Version, d.h. einer nativen Android und iOS Version von connect, die dieselben Funktionen umfasst, aber in einem simplen 2D-Design (vlg. WhatsApp und Co). Diese Version unterstützt dann wirklich alle Smartphones und läuft genauso schnell, wie WhatsApp und Co, mit Fokus auf Multi-Messenger, Multimedia und Verschlüsselung zielt sie auf den konservativeren, weniger verspielten Massenmarkt ab, bis VR sich endgültig durchgesetzt hat.
- Bis Mitte 2020: Fertigstellung der PlayStation-Version und der iOS-Version.
- Bis Ende 2020: Fertigstellung des Multi-Messengers für alle Geräte (inklusive PlayStation und iOS) und alle größeren Netzwerke (u.a. zusätzlich WhatsApp, WeChat, Snapchat, Skype, Twitter, Instagram etc.). 
- Ab 2021 Fokus auf neue Zielgruppe: alle Social Network / Messenger-User weltweit; bis dahin haben wir genug Funktionen (z.B. Multi-Messenger) und Inhalte (z.B. Medien-Inhalte der Partner) um auch den Massenmarkt anzusprechen. Unsere bisherigen VR-/3D-User werden als treue Fans zu Mundpropaganda motiviert (siehe 1.7 bis 1.9).
</t>
        </r>
      </text>
    </comment>
    <comment ref="C14" authorId="0">
      <text>
        <r>
          <rPr>
            <b/>
            <sz val="9"/>
            <color indexed="81"/>
            <rFont val="Tahoma"/>
            <family val="2"/>
          </rPr>
          <t>Michael Schöggl:</t>
        </r>
        <r>
          <rPr>
            <sz val="9"/>
            <color indexed="81"/>
            <rFont val="Tahoma"/>
            <family val="2"/>
          </rPr>
          <t xml:space="preserve">
</t>
        </r>
        <r>
          <rPr>
            <b/>
            <sz val="9"/>
            <color indexed="81"/>
            <rFont val="Tahoma"/>
            <family val="2"/>
          </rPr>
          <t xml:space="preserve">
Wie groß ist unsere </t>
        </r>
        <r>
          <rPr>
            <b/>
            <i/>
            <sz val="9"/>
            <color indexed="81"/>
            <rFont val="Tahoma"/>
            <family val="2"/>
          </rPr>
          <t>primäre</t>
        </r>
        <r>
          <rPr>
            <b/>
            <sz val="9"/>
            <color indexed="81"/>
            <rFont val="Tahoma"/>
            <family val="2"/>
          </rPr>
          <t xml:space="preserve"> Zielgruppe (Multi-Messenger, Social Network, Multimedia), die wir ab 2020 erreichen können? - </t>
        </r>
        <r>
          <rPr>
            <b/>
            <u/>
            <sz val="9"/>
            <color indexed="81"/>
            <rFont val="Tahoma"/>
            <family val="2"/>
          </rPr>
          <t>Bezogen auf Viral-Marketing-Zugänge</t>
        </r>
        <r>
          <rPr>
            <b/>
            <sz val="9"/>
            <color indexed="81"/>
            <rFont val="Tahoma"/>
            <family val="2"/>
          </rPr>
          <t xml:space="preserve">
</t>
        </r>
        <r>
          <rPr>
            <u/>
            <sz val="9"/>
            <color indexed="81"/>
            <rFont val="Tahoma"/>
            <family val="2"/>
          </rPr>
          <t>Begründung für diesen Wert</t>
        </r>
        <r>
          <rPr>
            <sz val="9"/>
            <color indexed="81"/>
            <rFont val="Tahoma"/>
            <family val="2"/>
          </rPr>
          <t>: 
- Siehe Kommentar zur Spalte links: Ab 2021 umfasst connect genügend Inhalte, Medien, Funktionen und Geräte-Unterstützungen, sowie eine simple connect Basic Version ohne 3D/VR, um praktisch alle Social Network / Media bzw. Messenger User weltweit anzusprechen.
- Viele User verwenden mehrere Social Networks oder Messenger parallel zueinander, zudem bietet gerade connect mit dem Multi-Messenger den Vorteil, aus einer App heraus alle anderen Netzwerke verwenden/verwalten zu können. Darum gehen wir von einem weltweiten Markt von mindestens 300 Mio Menschen aus, unanhängig davon, wie erfolgreich oder aktiv die Konkurrenz wie z.B. Facebook ist. 
- Gewissermaßen profitieren wir aufgrund unseres Multi-Messengers sogar von mehr Wettbewerbern bzw. dem Erfolg anderer Messenger und Netzwerke - weil dadurch der Wert von unserer Verschlüsselung / Datenschutz und von unserem Multi-Messenger steigt, schließlich nimmt er "Arbeit" ab, all diese Netzwerke (mit unterschiedlichen Apps und unterschiedlichen Geräteabhängigkeiten) zu betreuen.</t>
        </r>
      </text>
    </comment>
    <comment ref="J14" authorId="0">
      <text>
        <r>
          <rPr>
            <b/>
            <sz val="9"/>
            <color indexed="81"/>
            <rFont val="Tahoma"/>
            <family val="2"/>
          </rPr>
          <t>Michael Schöggl:</t>
        </r>
        <r>
          <rPr>
            <sz val="9"/>
            <color indexed="81"/>
            <rFont val="Tahoma"/>
            <family val="2"/>
          </rPr>
          <t xml:space="preserve">
</t>
        </r>
        <r>
          <rPr>
            <b/>
            <sz val="9"/>
            <color indexed="81"/>
            <rFont val="Tahoma"/>
            <family val="2"/>
          </rPr>
          <t>Summe der monatlichen Steigerungsraten für das gesamte Jahr.</t>
        </r>
        <r>
          <rPr>
            <sz val="9"/>
            <color indexed="81"/>
            <rFont val="Tahoma"/>
            <family val="2"/>
          </rPr>
          <t xml:space="preserve"> 
- Die Werte links davon sind pro Monat und nicht pro Quartal, das hier ist also nicht die Summe der Werte links, sondern das Jahresergebnis.
- Diese Werte sind mit Vorsicht zu genießen, die eigentliche Steigerungsrate pro Jahr ist eine andere, als die einfache Summe der monatlichen Steigerungen.</t>
        </r>
      </text>
    </comment>
    <comment ref="A15" authorId="0">
      <text>
        <r>
          <rPr>
            <b/>
            <sz val="9"/>
            <color indexed="81"/>
            <rFont val="Tahoma"/>
            <family val="2"/>
          </rPr>
          <t>Michael Schöggl:</t>
        </r>
        <r>
          <rPr>
            <sz val="9"/>
            <color indexed="81"/>
            <rFont val="Tahoma"/>
            <family val="2"/>
          </rPr>
          <t xml:space="preserve">
Prozentsatz aller bisherigen User, die innerhalb von diesem einen Monat connect für immer verlassen und daher dauerhaft verloren gehen.
</t>
        </r>
        <r>
          <rPr>
            <u/>
            <sz val="9"/>
            <color indexed="81"/>
            <rFont val="Tahoma"/>
            <family val="2"/>
          </rPr>
          <t>Achtung</t>
        </r>
        <r>
          <rPr>
            <sz val="9"/>
            <color indexed="81"/>
            <rFont val="Tahoma"/>
            <family val="2"/>
          </rPr>
          <t>: Diesen Wert nicht zu hoch einschätzen, weil er sich auf jeden einzelnen Monat bezieht und sich schnell kummuliert. Bei einem Wert von 0,1 würden im Laufe eines Jahres z.B. 72% aller User wieder verloren sein (0,9 hoch 12).</t>
        </r>
      </text>
    </comment>
    <comment ref="B15" authorId="0">
      <text>
        <r>
          <rPr>
            <b/>
            <sz val="9"/>
            <color indexed="81"/>
            <rFont val="Tahoma"/>
            <family val="2"/>
          </rPr>
          <t>Michael Schöggl:</t>
        </r>
        <r>
          <rPr>
            <sz val="9"/>
            <color indexed="81"/>
            <rFont val="Tahoma"/>
            <family val="2"/>
          </rPr>
          <t xml:space="preserve">
</t>
        </r>
        <r>
          <rPr>
            <b/>
            <sz val="9"/>
            <color indexed="81"/>
            <rFont val="Tahoma"/>
            <family val="2"/>
          </rPr>
          <t xml:space="preserve">Wieviel Prozent aller bisherigen User verlassen uns pro Monat? </t>
        </r>
        <r>
          <rPr>
            <sz val="9"/>
            <color indexed="81"/>
            <rFont val="Tahoma"/>
            <family val="2"/>
          </rPr>
          <t xml:space="preserve">
</t>
        </r>
        <r>
          <rPr>
            <u/>
            <sz val="9"/>
            <color indexed="81"/>
            <rFont val="Tahoma"/>
            <family val="2"/>
          </rPr>
          <t>Begründung für diesen Wert</t>
        </r>
        <r>
          <rPr>
            <sz val="9"/>
            <color indexed="81"/>
            <rFont val="Tahoma"/>
            <family val="2"/>
          </rPr>
          <t>: 
- Dieser Wert ist von unglaublicher Bedeutung für unseren Erfolg. Wir tun vieles, um ihn so rasch wie möglich maximal zu senken (u.a. durch Individualisierung, Investments, Aufarbeitung von User-Wünschen, ständig neuen Inhalten von Partner bzw. Medien, spielerische, unterhaltsame Zugänge wie virtuelle Haustiere, etc.). 
- Bis Mitte 2020 wird der Wert sehr hoch sein, weil viele versprochene Funktionen noch nicht fertig sind und die Usability aufgrund offener Baustellen noch zu schlecht. Ab Q3 2020 gilt dann der hier eingetragene Wert.
- Solange dieser Wert niedriger ist (wird), als Summe A und B zusammen, wächst connect.</t>
        </r>
      </text>
    </comment>
    <comment ref="C15"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sinkt/steigt der prozentuale Wert, mit dem jeden Monat bisherige User connect für immer verlassen?</t>
        </r>
        <r>
          <rPr>
            <sz val="9"/>
            <color indexed="81"/>
            <rFont val="Tahoma"/>
            <family val="2"/>
          </rPr>
          <t xml:space="preserve">
</t>
        </r>
        <r>
          <rPr>
            <u/>
            <sz val="9"/>
            <color indexed="81"/>
            <rFont val="Tahoma"/>
            <family val="2"/>
          </rPr>
          <t>Begründung für diesen Wert</t>
        </r>
        <r>
          <rPr>
            <sz val="9"/>
            <color indexed="81"/>
            <rFont val="Tahoma"/>
            <family val="2"/>
          </rPr>
          <t>:
- Umso userfreundlicher connect (durch die Einarbeitung von Feedback) wird, umso weniger User werden uns verlassen.
- Umso mehr Zeit und Energie unsere User in ihr virtuelles Zuhause investiert haben, umso weniger sind sie bereit, diese wieder aufzugeben. 
- Wir fokussieren uns darauf, dem User solche Investitionen abzuverlangen, damit er wie in einer alten Ehe connect die Treue hält. Beispiele: Individualisierung, exklusiv Inhalte wie z.B. Quest- bzw. Erfolgs-Belohnungen, Einkäufe, Wettbewerbs-Preise, Tresor-Inhalte, Tausch-Ergebnisse, connect-eigener Freundeskreis, Chat-Verläufe, gesammelte Kontakte, erstellte Favoriten-Listen bei Multimedia-Anbietern, (selbst gezüchtete und trainierte) seltene, virtuelle Haustiere, Einstellungen, etc.
- connect wird laufend weiterentwickelt und wir haben hunderte coole Ideen für Funktionen bzw. Inhalte, die unsere User nicht missen werden wollen.
- Unser Datenschutz-Image und der Aufbau von Vertrauen werden User abhalten, zur Konkurrenz zu wechseln bzw. connect als DIE Kommunikations- und Medien-Plattform ihrer Wahl zu verlassen.</t>
        </r>
      </text>
    </comment>
    <comment ref="J15" authorId="0">
      <text>
        <r>
          <rPr>
            <b/>
            <sz val="9"/>
            <color indexed="81"/>
            <rFont val="Tahoma"/>
            <family val="2"/>
          </rPr>
          <t>Michael Schöggl:</t>
        </r>
        <r>
          <rPr>
            <sz val="9"/>
            <color indexed="81"/>
            <rFont val="Tahoma"/>
            <family val="2"/>
          </rPr>
          <t xml:space="preserve">
</t>
        </r>
        <r>
          <rPr>
            <b/>
            <sz val="9"/>
            <color indexed="81"/>
            <rFont val="Tahoma"/>
            <family val="2"/>
          </rPr>
          <t xml:space="preserve">Summe der monatlichen Reduktionsraten für das gesamte Jahr. </t>
        </r>
        <r>
          <rPr>
            <sz val="9"/>
            <color indexed="81"/>
            <rFont val="Tahoma"/>
            <family val="2"/>
          </rPr>
          <t xml:space="preserve">
- Die Werte links davon sind pro Monat und nicht pro Quartal, das hier ist also nicht die Summe der Werte links, sondern das Jahresergebnis.
- Diese Werte sind mit Vorsicht zu genießen, die eigentliche Reduktionsrate pro Jahr ist eine andere, als die einfache Summe der monatlichen Reduktionen.</t>
        </r>
      </text>
    </comment>
    <comment ref="V15" authorId="0">
      <text>
        <r>
          <rPr>
            <b/>
            <sz val="9"/>
            <color indexed="81"/>
            <rFont val="Tahoma"/>
            <family val="2"/>
          </rPr>
          <t>Michael Schöggl:</t>
        </r>
        <r>
          <rPr>
            <sz val="9"/>
            <color indexed="81"/>
            <rFont val="Tahoma"/>
            <family val="2"/>
          </rPr>
          <t xml:space="preserve">
- 2% pro Monat (Q4 2022) entspricht 24% pro Jahr. Für 2021 und die darauffolgenden Jahre rechnen wir mit 20% Abwanderung pro Jahr. 
- connect bietet sehr viel, um User dauerhaft zu binden, z.B. durch Datenschutz, Multimessenger (einmal eingerichtet will man nicht mehr darauf verzichten) und jedes Investment, das unsere User tätigen (Einkäufe, Belohnungen, Chat-Verkauf, etc.).
- Um vorsichtig zu schätzen, wollen wir aber auch dauerhaft mit 20% jährlicher Abwanderung rechnen, da es unrealistisch ist, alle User halten zu können.</t>
        </r>
      </text>
    </comment>
    <comment ref="Z15" authorId="0">
      <text>
        <r>
          <rPr>
            <b/>
            <sz val="9"/>
            <color indexed="81"/>
            <rFont val="Tahoma"/>
            <family val="2"/>
          </rPr>
          <t xml:space="preserve">Michael Schöggl:
</t>
        </r>
        <r>
          <rPr>
            <sz val="9"/>
            <color indexed="81"/>
            <rFont val="Tahoma"/>
            <family val="2"/>
          </rPr>
          <t xml:space="preserve">
Wegen der frühen Testversion, bei der noch fast nichts geht und vieles buggt, ist die Absprungrate pro Monat sehr hoch. Der Wert sagt aber nichts über die fertige Version aus, denn eines haben ALLE Menschen gemeinsam: sie wollen keine Software nutzen, die noch nicht funktioniert, die kaum was bringt und die viele Probleme hat. </t>
        </r>
      </text>
    </comment>
    <comment ref="A16" authorId="0">
      <text>
        <r>
          <rPr>
            <b/>
            <sz val="9"/>
            <color indexed="81"/>
            <rFont val="Tahoma"/>
            <family val="2"/>
          </rPr>
          <t>Michael Schöggl:</t>
        </r>
        <r>
          <rPr>
            <sz val="9"/>
            <color indexed="81"/>
            <rFont val="Tahoma"/>
            <family val="2"/>
          </rPr>
          <t xml:space="preserve">
- Diese Wachstumsrate wird absolut berechnet, d.h. das Endergebnis Quartal 2 minus Endergebnis Quartal 1. 
- Die Wachstumsrate umfasst die Summe A, B und die User, die pro Monat connect wieder verlassen.</t>
        </r>
      </text>
    </comment>
    <comment ref="J16" authorId="0">
      <text>
        <r>
          <rPr>
            <b/>
            <sz val="9"/>
            <color indexed="81"/>
            <rFont val="Tahoma"/>
            <family val="2"/>
          </rPr>
          <t>Michael Schöggl:</t>
        </r>
        <r>
          <rPr>
            <sz val="9"/>
            <color indexed="81"/>
            <rFont val="Tahoma"/>
            <family val="2"/>
          </rPr>
          <t xml:space="preserve">
</t>
        </r>
        <r>
          <rPr>
            <b/>
            <sz val="9"/>
            <color indexed="81"/>
            <rFont val="Tahoma"/>
            <family val="2"/>
          </rPr>
          <t>Wachstumsrate insgesamt im Vergleich zum Vorjahr</t>
        </r>
        <r>
          <rPr>
            <sz val="9"/>
            <color indexed="81"/>
            <rFont val="Tahoma"/>
            <family val="2"/>
          </rPr>
          <t xml:space="preserve">
- Dieser Wert ist im Gegensatz zu den Summenwerten darüber aussagekräftiger. 
- Die Summenwerte (oben) ignorieren, dass beim Zusammenzählen einzelner prozentualer Steigerungen das Ausmaß der gesamten Steigerung bis zum ersten Wert verloren geht und unterschätzt wird, weil immer nur kleinere Änderungen gemessen werden. Dadurch sind die Summenwerte oben deutlich kleiner, als die absolute Steigerungsrate von Jahr 1 zu Jahr 2.  
- Da connect erst mit Jahresende 2018 als Testversion veröffentlicht wurde und kaum User hat, macht die Berechnung dieser jährlichen Wachstumsrate für 2020 im Vergleich zu 2019 wenig Sinn.</t>
        </r>
      </text>
    </comment>
    <comment ref="A17"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 ref="J17" authorId="0">
      <text>
        <r>
          <rPr>
            <b/>
            <sz val="9"/>
            <color indexed="81"/>
            <rFont val="Tahoma"/>
            <family val="2"/>
          </rPr>
          <t xml:space="preserve">Michael Schöggl:
</t>
        </r>
        <r>
          <rPr>
            <sz val="9"/>
            <color indexed="81"/>
            <rFont val="Tahoma"/>
            <family val="2"/>
          </rPr>
          <t xml:space="preserve">
Summe aller neuen User in diesem Jahr abzüglich derjenigen, die inaktiv geworden sind.</t>
        </r>
      </text>
    </comment>
    <comment ref="A18"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 ref="J18" authorId="0">
      <text>
        <r>
          <rPr>
            <b/>
            <sz val="9"/>
            <color indexed="81"/>
            <rFont val="Tahoma"/>
            <family val="2"/>
          </rPr>
          <t xml:space="preserve">Michael Schöggl:
</t>
        </r>
        <r>
          <rPr>
            <sz val="9"/>
            <color indexed="81"/>
            <rFont val="Tahoma"/>
            <family val="2"/>
          </rPr>
          <t xml:space="preserve">
Absolute Anzahl aller aktiven User am Ende des Jahres. 
</t>
        </r>
      </text>
    </comment>
    <comment ref="A20" authorId="0">
      <text>
        <r>
          <rPr>
            <b/>
            <sz val="9"/>
            <color indexed="81"/>
            <rFont val="Tahoma"/>
            <family val="2"/>
          </rPr>
          <t>Michael Schöggl:</t>
        </r>
        <r>
          <rPr>
            <sz val="9"/>
            <color indexed="81"/>
            <rFont val="Tahoma"/>
            <family val="2"/>
          </rPr>
          <t xml:space="preserve">
- connect hat viele Geschäftsmodelle, wird seinen Fokus aber ganz klar auf B2C konzentrieren, um erste Einnahmen (ab dem 1. User) zu machen. 
- Wenn wir eine kritische Masse an Usern erreicht haben (ca. 20 bis 100k), werden langsam immer stärker auch B2B-Kunden auf uns aufmerksam.
- B2B wird deutlich höhere Einnahmen erbringen, als B2C.
- Wir konzentrieren uns von Anfang an auf die Akquise von B2B-Kunden, realistischerweise werden unsere Bemühungen aber erst erfolgreich sein, wenn wir mindestens 20.000 User haben. 
- Wir haben aktive Gespräche mit mehr als zwei Dutzend großer internationaler Unternehmen, die Interesse an einer Zusammenarbeit haben und noch ein wenig zögern, weil es noch etwas zu früh ist. U.a. Porsche, A1, Deutsche Telekom, Red Bull, Wirecard (Kooperation bereits zugesagt), Internorm, Canon, Antenne (Kooperation bereits zugesagt), Energie Steiermark, etc.
- Fast alle Unternehmen, mit denen wir bisher in Kontakt kamen, haben mit uns Gespräche geführt und Interesse gezeigt (wir hatten mehr als ein Dutzend Präsentationen). Uns fehlte bisher die Zeit und die Mittel (Mitarbeiter), um offensiver auf weitere Unternehmen zuzugehen.
- Auf Basis dieser Erfahrungen können wir mit hoher Sicherheit annehmen, dass es uns sehr rasch gelingen wird, Unternehmen als Kunden zu gewinnen, sobald unsere Software fertig ist und wir mindestens 20.000 User haben. Keines dieser Unternehmen will zu spät kommen, aber auch keines kann es sich leisten, bereits fixe Zusagen zu machen, solange unser Projekt noch keine/kaum Traktion bewiesen hat.</t>
        </r>
      </text>
    </comment>
    <comment ref="A21" authorId="1">
      <text>
        <r>
          <rPr>
            <b/>
            <sz val="9"/>
            <color indexed="81"/>
            <rFont val="Tahoma"/>
            <family val="2"/>
          </rPr>
          <t>e.com:</t>
        </r>
        <r>
          <rPr>
            <sz val="9"/>
            <color indexed="81"/>
            <rFont val="Tahoma"/>
            <family val="2"/>
          </rPr>
          <t xml:space="preserve">
- Siehe Quelle 06: Bei erfolgreichen Apps gibt der durchschnittliche User pro Jahr für In-App-Einkäufe ca. 76 € aus.
- connect ist kostenlos, aber User können Erweiterungen wie z.B. virtuelle Haustiere (Entchen, Krokodil fertig, Schildkröte, Küken etc. bald), Spiele, neue virtuelle Räume/Orte (z.B. Oval Office, fertig), Deko, Gimmicks (z.B. Wettergerät), virtuelle Geschenke (z.B. Rose, Flugzeug mit beschriftbaren Banner, etc.) kaufen. 
- Erfahrungen bei Spielen zeigen, dass diese Form der Monetarisierung in vielen Fällen höhere Einnahmen bringt, als ein monatliches Abo-System oder der Kaufpreis eines Spieles.
- In connect werden vor allem virtuelle, fotorealistische, alternative Szenen (z.B. Oval Office), dekorative, stark limitierte Erweiterungen und virtuelle Haustiere für hohe Einnahmen sorgen. Der User kauft z.B. ein Ei und es schlüpft meistens ein Entchen daraus, selten ein Krokodilbaby und extrem selten ein Saurierbaby. Jedes Tier gibt es in verschieden häufigen Farben. Viele User werden zahlreiche Eier kaufen, weil sie unbedingt z.B. ein schwarzes Baby-Krokodil wollen, das ihren Sozialstatus unterstreichen soll und besonders rar und wertvoll ist. 
- Auch alternative VR-Szenarien (die fotorealistisch und interaktiv sind), sind für wenige Euro erschwinglich, viele User werden als Sammler einfach alles kaufen, was angebot wird. 
- In dieser Aufstellung rechnen wir mit realistischen 3,5 bis langfristig 10 Euro pro User und Jahr an Einnahmen, aber möglich wären auch 40 Euro oder mehr. connect bietet viel mehr verschiedenartigen Content, als klassische Spiele und die Inhalte sind noch relevanter für den eigenen Sozial-Status (virtuelle, möglichst realistische Welt, die realen Freunde als Bewunderer, statt fremde Spieler, etc.).</t>
        </r>
      </text>
    </comment>
    <comment ref="B21" authorId="0">
      <text>
        <r>
          <rPr>
            <b/>
            <sz val="9"/>
            <color indexed="81"/>
            <rFont val="Tahoma"/>
            <family val="2"/>
          </rPr>
          <t>Michael Schöggl:</t>
        </r>
        <r>
          <rPr>
            <sz val="9"/>
            <color indexed="81"/>
            <rFont val="Tahoma"/>
            <family val="2"/>
          </rPr>
          <t xml:space="preserve">
</t>
        </r>
        <r>
          <rPr>
            <b/>
            <sz val="9"/>
            <color indexed="81"/>
            <rFont val="Tahoma"/>
            <family val="2"/>
          </rPr>
          <t>Wieviel € gibt ein aktiver User im Durchschnitt für In-App-Käufe pro Monat aus?</t>
        </r>
        <r>
          <rPr>
            <sz val="9"/>
            <color indexed="81"/>
            <rFont val="Tahoma"/>
            <family val="2"/>
          </rPr>
          <t xml:space="preserve">
</t>
        </r>
        <r>
          <rPr>
            <u/>
            <sz val="9"/>
            <color indexed="81"/>
            <rFont val="Tahoma"/>
            <family val="2"/>
          </rPr>
          <t>Begründung für diesen Wert</t>
        </r>
        <r>
          <rPr>
            <sz val="9"/>
            <color indexed="81"/>
            <rFont val="Tahoma"/>
            <family val="2"/>
          </rPr>
          <t xml:space="preserve">:
- Wir rechnen mit 0,3 € (Q3 2020) bis 0,93 € (Q4 2022) pro Monat.
- Das sind sehr vorsichtige, pessimistische Schätzwerte, da offizielle Zahlen und Vergleiche mit anderen Apps/Spielen deutlich höhere Durchschnittswerte belegen. Siehe hierzu Quellen 04 bis 08. WeChat ARPU: 35 $.
- connect ist keine reine App, sondern auch als PC- bzw. PlayStation-Version und in VR erhältlich; dadurch können wir mit den deutlich höheren Einnahmen aus der Online-Spiele-Branche rechnen (siehe Quelle 08, im Durchschnitt 20 € pro Jahr). 
- Da connect "hochwertig" ist/wirkt (kein 2D-Handy-Spiel, sondern ein fotorealistischer Raum um mich herum), ist es sehr wahrscheinlich, dass unsere User auch mehr Geld auszugeben bereit sind, um ihr virtuelles Reich zu verbessern.
- Die gekauften Inhalte haben "persönliche Relevanz" (es sind keine Gimmicks für eine Spielfigur, sondern für </t>
        </r>
        <r>
          <rPr>
            <i/>
            <sz val="9"/>
            <color indexed="81"/>
            <rFont val="Tahoma"/>
            <family val="2"/>
          </rPr>
          <t>mein</t>
        </r>
        <r>
          <rPr>
            <sz val="9"/>
            <color indexed="81"/>
            <rFont val="Tahoma"/>
            <family val="2"/>
          </rPr>
          <t xml:space="preserve"> virtuelles Leben / Reich). 
- Durch den Social-Network-Aspekt erhöhen exklusive Inhalte meinen Sozial-Status gegenüber allen Freunden und nicht nur gegenüber anderen, unbekannten Gamern. 
- Viele In-App-Käufe sind tatsächlich nützlich (z.B. funktionelle Updates), es ist leicht, sie als sinnvoll zu betrachten und insofern auch eher Geld dafür auszugeben. Zudem sind es nicht nur spielerische Inhalte, sondern auch Medien- bzw. Erlebnis-Inhalte, deren Kauf kein negatives Image hat und mehr allgemeine Akzeptanz findet.
- Investitionen in Spiele haben nur kurz einen Wert, bald ist das Spiel nicht mehr interessant, die Preise verfallen (siehe Pokemon Go); bei einem sozialen Netzwerk bleiben meine Investments erhalten. 
- connect-Inhalte können verkauft, verschenkt und vertauscht werden, die Inhalte behalten dadurch an Wert. Das gilt für ALLE Freunde, nicht nur für fremde Gamer.
- Allein ein tauschbares, züchtbares interaktives, täuschend realistisches Haustier in VR wie z.B. ein Tigerbaby - dafür (oder für eine komplett neues Zuhause, z.B. einem Star Wars Raumschiff oder auf einem Piratenschiff) sind User eher bereit 1-15 € zu zahlen, als für Futter für einen "Pou" (bitte googlen). 
- Unsere In-App-Käufe sprechen zudem eine viel größere Zielgruppe an (z.B. VR Sex, VR Haustiere oder süße virtuelle Geschenke für Freunde oder nützliche Funktionen), als klassische In-App-Käufe in sehr spezifischen Spielen.
- connect wird eine Geldmaschine und unsere Schätzwerte sind (mittelfristig) lächerlich gering. 
- Ich könnte ein 500-Seiten-Buch darüber schreiben, warum wir viiiiel höhere Einnahmen durch In-App-Einnahmen haben werden, als der Durchschnitt in den zitierten Quellen. Das ist ein Thema, das wir diskutieren sollten.</t>
        </r>
      </text>
    </comment>
    <comment ref="C21" authorId="0">
      <text>
        <r>
          <rPr>
            <b/>
            <sz val="9"/>
            <color indexed="81"/>
            <rFont val="Tahoma"/>
            <family val="2"/>
          </rPr>
          <t>Michael Schöggl:</t>
        </r>
        <r>
          <rPr>
            <sz val="9"/>
            <color indexed="81"/>
            <rFont val="Tahoma"/>
            <family val="2"/>
          </rPr>
          <t xml:space="preserve">
</t>
        </r>
        <r>
          <rPr>
            <b/>
            <sz val="9"/>
            <color indexed="81"/>
            <rFont val="Tahoma"/>
            <family val="2"/>
          </rPr>
          <t>Um wieviel € pro Quartal werden sich die In-App-Ausgaben der User erhöhen lassen?</t>
        </r>
        <r>
          <rPr>
            <sz val="9"/>
            <color indexed="81"/>
            <rFont val="Tahoma"/>
            <family val="2"/>
          </rPr>
          <t xml:space="preserve">
</t>
        </r>
        <r>
          <rPr>
            <u/>
            <sz val="9"/>
            <color indexed="81"/>
            <rFont val="Tahoma"/>
            <family val="2"/>
          </rPr>
          <t>Begründung für diesen Wert</t>
        </r>
        <r>
          <rPr>
            <sz val="9"/>
            <color indexed="81"/>
            <rFont val="Tahoma"/>
            <family val="2"/>
          </rPr>
          <t>:
- Je mehr Inhalte wir anbieten, umso mehr wird auch gekauft. 
- Ist die Hemmschwelle mal gefallen, werden Stammkunden schneller und leichter weitere Käufe tätigen.
- Im Laufe der Quartale sammeln sich "Stammkunden" an, deren Verbundenheit mit connect immer stärker wird. Diese werden einen Sammlerehrgeiz entwickeln und möglichst viel / alles kaufen, was kaufbar ist.
- Wir werden die Anzahl der kaufbaren Inhalte zu Beginn sehr gering und überschaubar halten, damit ein Sammler-Instinkt entstehen kann (wenn es unmöglich ist, alles zu besitzen, wird dieser abgewürgt). Ein Prozentsatz der User wird versuchen alles zu erwerben, was es gibt. Langsam werden wir diese Anzahl steigern, d.h. es kommen mehr neue monatliche Inhalte dazu.
- Je mehr User connect bekommt, umso mehr Motivation entsteht, Freunden etwas zu kaufen und zu schenken (weil mehr Freunde auch connect verwenden).
- Je mehr User connect hat, umso eher werden In-App-Käufe ein positives, sozial angesehenes Image entwickeln. Die Hemmschwelle sinkt, auch deshalb, weil durch die Tauschbarkeit der Items der fiktive Wert nicht so leicht verloren geht.
- Zeitlich begrenzte Kaufmöglichkeiten werden dazu führen, dass manche User ihren Einkauf teurer weiterverkaufen können, weil die Userzahl und damit die Nachfrage gestiegen ist. Solche Strategien können wir nur im Laufe der Zeit entwickeln, wenn wir aber dieses Image der "Wertigkeit" unserer Inhalte erreicht haben, werden auch mehr Menschen Geld ausgeben.
- Der VR-Markt wächst, das Interesse an VR wächst, mehr Prozent unserer User werden VR-Technik verwenden und damit werden auch unsere klassischen VR-In-App-Käufe wie z.B. virtuelle Szenen / Räume / Einrichtungen an Beliebtheit zunehmen.</t>
        </r>
      </text>
    </comment>
    <comment ref="A22" authorId="0">
      <text>
        <r>
          <rPr>
            <b/>
            <sz val="9"/>
            <color indexed="81"/>
            <rFont val="Tahoma"/>
            <family val="2"/>
          </rPr>
          <t>Michael Schöggl:</t>
        </r>
        <r>
          <rPr>
            <sz val="9"/>
            <color indexed="81"/>
            <rFont val="Tahoma"/>
            <family val="2"/>
          </rPr>
          <t xml:space="preserve">
- Im virtuellen Zuhause der User werden alle Objekte Markenprodukte sein und da jedes Objekt eine Funktion hat (z.B. Fotos machen mit der Kamera), wird diese unterschwellige Product Placement Werbung nicht als aufdringlich wahrgenommen.
- Aktuell gibt es 2 Räume mit rund 15 verschiedenen Markenprodukten, langfristig wird der User sein virtuelles Zuhause um zahlreiche Räume erweitern, es wird komplett neue Szenen geben (z.B. eine Bar, um andere User zu treffen, Kino, Stadt, etc.). Dadurch werden immer mehr "Slots" für Markenprodukte geschaffen.
- Der User kann (in seinem eigenen Zuhause) alles individualisieren und wird z.B. regelmäßig neue Kamera-Modelle anzeigen, auch, weil er ein gewisses Interesse daran hat, immer das Neueste virtuell zu besitzen. Dadurch verdienen wir pro Slot und Jahr mehrmals, bei mehreren unterschiedlichen Markenprodukten. 
- Es gibt viele psychologische Gründe (siehe Kommentare bei den Werte), warum diese Form der Werbung effektiver ist, als alle anderen Zugänge, die es aktuell weltweit gibt.
- Der User wird die Möglichkeit haben, sich zu allen Objekten Informationen anzeigen zu lassen, z.B. wo er es um welchen (günstigsten) Preis kaufen kann, wie lang die Lieferung dauert, welche Bewertungen andere gegeben haben und welche technischen Eigenschaften die Objekte haben. Mittelfristig kann er sie direkt über uns bestellen, in Zusammenarbeit mit Amazon / Alibaba bzw. längerfristig eventuell durch einen eigenen Vertrieb (siehe dazu 2.5 Provision für direkte Online-Einkäufe). </t>
        </r>
      </text>
    </comment>
    <comment ref="B22" authorId="0">
      <text>
        <r>
          <rPr>
            <b/>
            <sz val="9"/>
            <color indexed="81"/>
            <rFont val="Tahoma"/>
            <family val="2"/>
          </rPr>
          <t xml:space="preserve">Michael Schöggl:
Wieviel € pro Monat und User verdienen wir mit Product Placement?
</t>
        </r>
        <r>
          <rPr>
            <u/>
            <sz val="9"/>
            <color indexed="81"/>
            <rFont val="Tahoma"/>
            <family val="2"/>
          </rPr>
          <t>Begründung für diesen Wert</t>
        </r>
        <r>
          <rPr>
            <sz val="9"/>
            <color indexed="81"/>
            <rFont val="Tahoma"/>
            <family val="2"/>
          </rPr>
          <t>:
- Wir werden mindestens folgende Prämien verlangen (die Preise könnten nach genauer Prüfung auch höher angesetzt werden, hier wollen wir mit vielen Experten und Partnern sprechen): 
&gt; 1 hour:      0.15 €/$ 
&gt; 2 hours: + 0.12 €/$ 
&gt; 3 hours: + 0.10 €/$ 
&gt; 4 hours: + 0.08 €/$ 
&gt; 5 hours: + 0.05 €/$
= insgesamt maximal 50 Cent.</t>
        </r>
        <r>
          <rPr>
            <sz val="9"/>
            <color indexed="81"/>
            <rFont val="Tahoma"/>
            <family val="2"/>
          </rPr>
          <t xml:space="preserve">
- Die Werbung ist unterschwellig, nicht aufdringlich, wirkt über Stunden, Tage oder Monate (statt Sekunden), die Objekte sind interaktiv und teilweise lustig, der User gewöhnt sich an sie, baut eine Bindung zu ihnen auf. Die Werbung ist ganz nahe an der Realität (keine abstrakte Verbindung) und wir können das positive Erlebnis mit den Objekten gezielt steuern (durch z.B. lustige, spannende, positive Ereignisse).
- Jeder NEUE Werbezugang trifft zu Beginn auf weniger Abwehr, warum Profis immer nach neuen Zugängen suchen, die noch nicht durch viele Konkurrenten überlaufen sind und beim Kunden zur Sättigung und Abwehr führen. Daher ist unser Werbezugang äußerst effektiv. 
- Der User wird alle Objekte in 3D von allen Seiten bewundern können, kann sie hochheben, neu platzieren. Er kann Materialien austauschen (z.B. bei Möbeln das Funier oder den Bezug wechseln) und sich somit alles so gestalten, wie es ihm gefällt. Die Objekte, die er im Raum hat, werden seinem Geschmack entsprechen (zielgruppenspezifisch) und der User wird seine Entscheidung aufgrund des Bedürfnisses "Recht zu behalten" gegenüber sich und anderen verteidigen, er wird zum Verfechter seiner Wahl. 
- Weitere Infos und Argumente: siehe Wert rechts und Beschreibung links!
</t>
        </r>
      </text>
    </comment>
    <comment ref="C22" authorId="0">
      <text>
        <r>
          <rPr>
            <b/>
            <sz val="9"/>
            <color indexed="81"/>
            <rFont val="Tahoma"/>
            <family val="2"/>
          </rPr>
          <t>Michael Schöggl:</t>
        </r>
        <r>
          <rPr>
            <sz val="9"/>
            <color indexed="81"/>
            <rFont val="Tahoma"/>
            <family val="2"/>
          </rPr>
          <t xml:space="preserve">
</t>
        </r>
        <r>
          <rPr>
            <b/>
            <sz val="9"/>
            <color indexed="81"/>
            <rFont val="Tahoma"/>
            <family val="2"/>
          </rPr>
          <t>Um wieviel Cent pro Quartal werden sich die monatlichen Einnahmen durch Product Placement erhöhen?</t>
        </r>
        <r>
          <rPr>
            <sz val="9"/>
            <color indexed="81"/>
            <rFont val="Tahoma"/>
            <family val="2"/>
          </rPr>
          <t xml:space="preserve">
</t>
        </r>
        <r>
          <rPr>
            <u/>
            <sz val="9"/>
            <color indexed="81"/>
            <rFont val="Tahoma"/>
            <family val="2"/>
          </rPr>
          <t>Begründung für diesen Wert</t>
        </r>
        <r>
          <rPr>
            <sz val="9"/>
            <color indexed="81"/>
            <rFont val="Tahoma"/>
            <family val="2"/>
          </rPr>
          <t xml:space="preserve">:
- Wie im Kommentar der Beschreibung links dargestellt, gibt es zu Beginn rund 15 Slots in den aktuell 2 Räumen, um Markenprodukte anzuzeigen. Unsere VR-Welt wächst, es werden im Laufe der Zeit hunderte Slots werden. Da der User regelmässig seine eigenen Objekte im Raum im Zuge der Individualisierung austauschen wird (z.B. im Schnitt alle 3 Monate die Möbel) und wir bei öffentlichen Räumen (z.B. Bar, Stadt, etc.) gleich verfahren, können wir pro Slot mehrmals pro Jahr mit Einnahmen von unterschiedlichen Partnern rechnen. Jeder Slot wird also mehr bringen, als 50 Cent pro User.
- Wir rechnen hier mit extrem vorsichtigen, bescheidenen Werten. Statistische Daten zeigen, dass User im Durchschnitt mehrere Stunden am Tag aktiv sind, in einem virtuellen Zuhause bzw. einer virtuellen Welt vllt sogar mehr. Je aktiver, umso länger betrachtet er die Product Placement Werbung. 
- Bei 27 Cent pro User und Monat würden wir davon ausgehen, dass der User in diesem Monat nur eines der aktuell 15 Objekte für mehr als 2 Stunden gesehen hat, oder 2 Objekte für jeweils mehr als 1 Stunde (siehe Preisgestaltung im Kommentar links). 
- Natürlich liegen die meisten Objekte direkt im Blick der Standard-Bildschirmausschnitte, die der User regelmäßig verwendet, z.B. am virtuellen Schreibtisch, wo alle Social Network Funktionen zu finden sind. Da die Objekte alle Funktionen haben, werden sie zwangsläufig regelmäßig betrachtet.
- Es ist extrem viel Luft nach oben. Langfristig könnten User pro Monat bei 50 Objekten die Obergrenze von 5 Stunden Betrachtung erreichen, das wären dann 25 € pro MONAT! 
- Zudem sind unsere Preise mehr als moderat und könnten deutlich höher sein, oder angehoben werden (wenn sich immer mehr Unternehmen um unsere Werbung streiten - vgl. Google/Facebook: die Preise sind dann die Höchstgebote). 
- Darum rechnen wir natürlich mit einer Steigerung der Einnahmen pro Quartal, 10 Cent sind sehr pessimistisch und locker zu erreichen. </t>
        </r>
      </text>
    </comment>
    <comment ref="A23" authorId="0">
      <text>
        <r>
          <rPr>
            <b/>
            <sz val="9"/>
            <color indexed="81"/>
            <rFont val="Tahoma"/>
            <family val="2"/>
          </rPr>
          <t xml:space="preserve">Michael Schöggl:
</t>
        </r>
        <r>
          <rPr>
            <sz val="9"/>
            <color indexed="81"/>
            <rFont val="Tahoma"/>
            <family val="2"/>
          </rPr>
          <t xml:space="preserve">
- Ca. 30% Provision an allen Verkäufen.
- Zu Beginn bringt uns dieser Zugang weniger, als unser eigener In-App-Shop unter 2.1, aber je mehr User wir haben, umso mehr Drittanbieter werden Inhalte für connect bauen und umso mehr Kaufmöglichkeiten werden User haben und auch nutzen. 
- Große Unternehmen wie Walt Disney sollen z.B. ihre Welten als VR-Szene bereitstellen - z.B. Star Wars oder Fluch der Karibik. Für solche fotorealistischen, interaktiven VR-Szenen können die Preise deutlich höher sein (ca. 5-10 €), als bei virtuellen Haustieren, Spielen, Gimmicks und Co.</t>
        </r>
      </text>
    </comment>
    <comment ref="B23" authorId="0">
      <text>
        <r>
          <rPr>
            <b/>
            <sz val="9"/>
            <color indexed="81"/>
            <rFont val="Tahoma"/>
            <family val="2"/>
          </rPr>
          <t>Michael Schöggl:</t>
        </r>
        <r>
          <rPr>
            <sz val="9"/>
            <color indexed="81"/>
            <rFont val="Tahoma"/>
            <family val="2"/>
          </rPr>
          <t xml:space="preserve">
</t>
        </r>
        <r>
          <rPr>
            <b/>
            <sz val="9"/>
            <color indexed="81"/>
            <rFont val="Tahoma"/>
            <family val="2"/>
          </rPr>
          <t>Wieviel € pro Monat verdienen wir durch Provision an Drittanbieter-Inhalten?</t>
        </r>
        <r>
          <rPr>
            <sz val="9"/>
            <color indexed="81"/>
            <rFont val="Tahoma"/>
            <family val="2"/>
          </rPr>
          <t xml:space="preserve">
</t>
        </r>
        <r>
          <rPr>
            <u/>
            <sz val="9"/>
            <color indexed="81"/>
            <rFont val="Tahoma"/>
            <family val="2"/>
          </rPr>
          <t>Begründung für diesen Wert</t>
        </r>
        <r>
          <rPr>
            <sz val="9"/>
            <color indexed="81"/>
            <rFont val="Tahoma"/>
            <family val="2"/>
          </rPr>
          <t>:
- Der Start wird sehr bescheiden sein, weil es nur wenige Drittanbieter geben wird. Durch den zweiten Wert (siehe Spalte rechts) wird der Zugewinn an weiteren Drittanbieter dargestellt, durch den dieses Geschäftsmodell sehr schnell an Bedeutung gewinnt.
- Der Wert ist auch deshalb deutlich geringer, als für In-App-Käufe, weil wir nur einen Anteil erhalten, nicht die volle Summe. Wir werden rund 30% an Provision verlangen.</t>
        </r>
      </text>
    </comment>
    <comment ref="C23" authorId="0">
      <text>
        <r>
          <rPr>
            <b/>
            <sz val="9"/>
            <color indexed="81"/>
            <rFont val="Tahoma"/>
            <family val="2"/>
          </rPr>
          <t>Michael Schöggl:</t>
        </r>
        <r>
          <rPr>
            <sz val="9"/>
            <color indexed="81"/>
            <rFont val="Tahoma"/>
            <family val="2"/>
          </rPr>
          <t xml:space="preserve">
</t>
        </r>
        <r>
          <rPr>
            <b/>
            <sz val="9"/>
            <color indexed="81"/>
            <rFont val="Tahoma"/>
            <family val="2"/>
          </rPr>
          <t>Um wieviel € pro Quartal erhöhen sich unsere monatlichen Einnahmen durch Provision für Drittanbieter-Inhalte?</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mehr Drittanbieter werden über uns Inhalte verkaufen (z.B. alternative 3D-Umgebungen, virtuelle Haustiere oder klassische Merchandising-Produkte in VR).
- Die Zahl ist gleich hoch, wie bei In-App-Käufen, stellt aber eine fast dreimal so schnelle Steigerung dar, weil wir nur ca. 30% an Provision von diesen In-App-Inhalten erhalten werden. Wir gehen aber davon aus, dass rund 3/4 aller verfügbaren In-App-Käufe von Drittanbietern stammen werden und diese Einnahmequelle langfristig die Einnahmen durch eigene Inhalte überholen wird. 
- Wir werden nur Inhalte von Partnern zulassen, die höchsten Qualitätsansprüchen genügen und auch nur dann, wenn sie vor der Entwicklung abgesprochen waren. Wir werden es um jeden Preis verhindern, dass mindere Qualität unser Image zerstört, alle Inhalte müssen a.) funktionell und interaktiv, b.) möglichst fotorealistisch c.) preislich fair (d.h. eher günstig, Massenmarkt) sein. 
- Wir wollen auf keinen Fall, dass der Sammler-Instinkt unserer User durch ein Überangebot (noch dazu von schlechter Qualität - wo der Einkauf als unfair empfunden wird und die Zufriedenheit riskiert) zerstört wird. Es soll möglich bleiben, dass ein User alles kauft, was es gibt - ohne dass er dabei mehr als rund 1000 € ausgibt. Besonders seltene Inhalte werden nicht kaufbar sein (sondern z.B. Aufwand bedeuten oder durch Zufall limitiert), da bereits ein einziger kaufbarer Inhalt, der zu teuer ist, den Sammeltick bei fast allen Menschen zerstören würde.
- Geplante maximale Gesamtausgaben (wenn ein User alles kaufbare kauft): 2020: 70 €, 2021: 200 €, 2022: 400 €, ... 2023: 1000 €. Wir wollen, dass möglichst viele Menschen möglichst alles kaufen / sammeln. 
- Wir werden Anreize (Belohnungen, Visualisierungen, Titel etc.) für User schaffen, die alle kaufbaren Inhalte gesammelt haben (ebenso wie alle, die man z.B. durch den Tresor oder durch Erfolge erhalten kann, etc. - aber da wird das Erreichen des Ziels viel schwieriger sein, weshalb viele sich als Ersatz den Erfolg für alle kaufbaren Inhalte holen werden). </t>
        </r>
      </text>
    </comment>
    <comment ref="D23" authorId="0">
      <text>
        <r>
          <rPr>
            <b/>
            <sz val="9"/>
            <color indexed="81"/>
            <rFont val="Tahoma"/>
            <family val="2"/>
          </rPr>
          <t>Michael Schöggl:</t>
        </r>
        <r>
          <rPr>
            <sz val="9"/>
            <color indexed="81"/>
            <rFont val="Tahoma"/>
            <family val="2"/>
          </rPr>
          <t xml:space="preserve">
- Der Schätzwert zu Frage 7 (Einnahmen durch 2.3, 2.4 und 2.5) wird gleichmäßig auf 2.3, 2.4 und 2.5 aufgeteilt. In Wirklichkeit wird die Verteilung zwar ziemlich sicher nicht gleichmäßig sein, aber für das Ergebnis ist das irrelevant.</t>
        </r>
      </text>
    </comment>
    <comment ref="A24" authorId="0">
      <text>
        <r>
          <rPr>
            <b/>
            <sz val="9"/>
            <color indexed="81"/>
            <rFont val="Tahoma"/>
            <family val="2"/>
          </rPr>
          <t>Michael Schöggl:</t>
        </r>
        <r>
          <rPr>
            <sz val="9"/>
            <color indexed="81"/>
            <rFont val="Tahoma"/>
            <family val="2"/>
          </rPr>
          <t xml:space="preserve">
- Wenn User über uns zu VR-Shops vermittelt werden und in diesen einkaufen, verlangen wir zwischen 1 bis 5 % an Provision (der Wert steht noch nicht fest, er soll mit Experten und Partnern besprochen werden). 
- VR-Shops müssen irgendwie an User kommen, diese sind in der Regel zu faul, um extra dafür eine Software runterzuladen, sich anzumelden, auf Gerätekompatibilität zu prüfen, ihre Bezahldaten für jeden Shop extra anzugeben, etc. Daher könnten wir das "Amazon in VR" werden, wir übernehmen diesen Service und verlangen dafür Provision. 
- Wir könnten auch das Erstellen von VR-Shops anbieten, damit diese bestmöglich unseren Anforderungen entsprechen. Allgemein aber ist connect so gestaltet, dass bestmöglich Schnittstellen zu VR-Shops unterstützt. Wir arbeiten mit Unity, einer Game Enigne, mit der rund 70 % der gesamten VR/AR-Software weltweit erstellt wird. Alle Unity-Szenen wären plattformunabhängig und leicht mit uns verknüpfbar. 
- Wir wollen mittelfristig ein Baukasten-System anbieten, mit dem jeder Partner sehr einfach einen VR-Shop in Unity erstellen kann und mit unserem Netzwerk anknüpfen. Dasselbe haben wir für Medien bereits gemacht - dort gibt es bereits eine Online-Plattform für die Verknüpfung aller Video-, Audio-, Print- oder Internet-Medien mit unserem virtuellen Zuhause. Der Aufwand beträgt weniger als 30 Minuten, auch der Aufwand für VR-Shops soll minimalisiert werden. 
- Ein Baukasten könnte den Partnern ermöglichen, dass sie sich sehr schnell einen Shop zusammenbasteln, mit Logos, Einrichtung und Design schmücken und nur noch ihre eigenen, verkaufbaren Produkte als 3D-Modelle einbringen müssen. Diese existieren schon jetzt für die meisten Produkte, weil die "Fotos" auf Amazon keine Fotos sondern 3D-Renderings von 3D-Modellen sind. 
- Wir haben mit einer Vielzahl von internationalen Unternehmen bei Business-Veranstaltungen gesprochen und wissen genau, worauf es ankommt und wie wir hier das einfachste, attraktivste Modell einer Zusammenarbeit gestalten müssen. 
- Auch ohne unseren Baukasten: Wer einen VR-Shop baut, wird gut darin beraten sein, ihn Unity-tauglich zu kreieren, weil er ihn nur so kompatibel mit vielen Plattformen (Hardware) und Netzwerken (Software) gestalten kann. 
- Oculus (Facebook) und Amazon versuchen einen restriktiven Weg zu gehen und eine eigene Enigne für die Erstellung von VR-Inhalten anzubieten (es gibt bisher nur Ankündigungen), aber dann wären alle Partner "gefangen" und abhängig und würden nur über eine Hardware (Oculus Brille) bzw. einen Anbieter (Amazon) ihre Shops anbinden können. Es ist sehr wahrscheinlich, dass es uns gelingt, mehr Partner durch eine nicht restriktive Politik zu gewinnen, weil deren Shops nicht nur mit unserem Produkt funktionieren würden, sondern bei ca. 90% aller Anbieter. Außerdem ist die Enigne Unity mit 12 Jahren Vorsprung viel besser, als die noch unfertigen Neuentwicklungen von Amazon und Facebook. Wir sind hier vergleichbar mit Microsoft bzw. Android (unterstützen möglichst alles) versus Apple bzw. iPhone (restriktive Politik, die von FB und Amazon kopiert wird).</t>
        </r>
      </text>
    </comment>
    <comment ref="B24" authorId="0">
      <text>
        <r>
          <rPr>
            <b/>
            <sz val="9"/>
            <color indexed="81"/>
            <rFont val="Tahoma"/>
            <family val="2"/>
          </rPr>
          <t>Michael Schöggl:</t>
        </r>
        <r>
          <rPr>
            <sz val="9"/>
            <color indexed="81"/>
            <rFont val="Tahoma"/>
            <family val="2"/>
          </rPr>
          <t xml:space="preserve">
</t>
        </r>
        <r>
          <rPr>
            <b/>
            <sz val="9"/>
            <color indexed="81"/>
            <rFont val="Tahoma"/>
            <family val="2"/>
          </rPr>
          <t xml:space="preserve">
Wieviel € werden wir pro Monat an Provision für die Vermittlung unserer User zu VR-Shops erhalten?</t>
        </r>
        <r>
          <rPr>
            <sz val="9"/>
            <color indexed="81"/>
            <rFont val="Tahoma"/>
            <family val="2"/>
          </rPr>
          <t xml:space="preserve">
</t>
        </r>
        <r>
          <rPr>
            <u/>
            <sz val="9"/>
            <color indexed="81"/>
            <rFont val="Tahoma"/>
            <family val="2"/>
          </rPr>
          <t>Begründung für diesen Wert</t>
        </r>
        <r>
          <rPr>
            <sz val="9"/>
            <color indexed="81"/>
            <rFont val="Tahoma"/>
            <family val="2"/>
          </rPr>
          <t xml:space="preserve">:
- Der Wert startet sehr bescheiden, weil zu Beginn (ab 2021) noch wenige VR-Shops an uns angebunden sein werden und auch nur wenige erste Early Adopter User in VR einkaufen werden. 
- Die Steigerung rechts ist deutlich höher (siehe Begründung dafür im Kommentar rechts). 
- Wir werden ca. 2 - 10 % an Provision für Einkäufe, die durch uns vermittelt wurden, verlangen. Dieser Wert soll noch von Experten und in Absprache mit Partnern geprüft und gegebenfalls angepasst werden. 
</t>
        </r>
      </text>
    </comment>
    <comment ref="C24" authorId="0">
      <text>
        <r>
          <rPr>
            <b/>
            <sz val="9"/>
            <color indexed="81"/>
            <rFont val="Tahoma"/>
            <family val="2"/>
          </rPr>
          <t>Michael Schöggl:
Um wieviel € pro Quartal steigern sich unsere monatlichen Einnahmen durch Provision für VR-Shops?</t>
        </r>
        <r>
          <rPr>
            <sz val="9"/>
            <color indexed="81"/>
            <rFont val="Tahoma"/>
            <family val="2"/>
          </rPr>
          <t xml:space="preserve">
</t>
        </r>
        <r>
          <rPr>
            <u/>
            <sz val="9"/>
            <color indexed="81"/>
            <rFont val="Tahoma"/>
            <family val="2"/>
          </rPr>
          <t>Begründung für diesen Wert</t>
        </r>
        <r>
          <rPr>
            <sz val="9"/>
            <color indexed="81"/>
            <rFont val="Tahoma"/>
            <family val="2"/>
          </rPr>
          <t xml:space="preserve">:
- Die ersten Unternehmen, die ihre Waren auch zum Kauf in VR-Shops anbieten, werden allein durch die Neugier der VR-User, die solche Shops mal erleben wollen, eine neue, zusätzliche Zielgruppe erschließen.
- Selbst, wenn das nicht stimmt: kein großes Unternehmen wird es sich leisten können, diesen Markt zu verschlafen. Wer würde schon gerne das Online-Shopping komplett verschlafen? Es gehört beinahe zur Pflicht eines großen Unternehmens, im Zuge der Risikominimierung, möglichst rasch auch einen VR-Shop anzubieten (Beispiele wie Kodak oder Nokia schrecken Manager, die sich gegenüber Aktionären verantworten müssen, ab).
- Die Erstellung eines VR-Shops kostet nicht mehr als ca. 100.000 bis 2 Millionen Euro. Wir könnten solche Auftragsarbeiten auch anbieten, wenn wir wollen! (Nachfrage haben wir bereits mehr als genug erhalten). 
- Das Feedback von mehr als einem Dutzend großer Unternehmen (darunter Porsche, A1, Red Bull, Deutsche Telekom, Wirecard, Casino-Anbieter etc.) war, dass sie ernsthaft an einem VR-Shop interessiert sind, ihn uns in Auftrag geben würden oder bereits selbst daran arbeiten. 
- Auch Statistiken (siehe Quelle 17) belegen, dass viele Unternehmen sehr bald (wir rechnen ab 2021) VR-Shops anbieten werden. Zudem belegen sie (siehe Quelle 5), dass Shopping-Apps im Schnitt pro User rund 2,68 € pro Monat verdienen. 
- Wir haben connect (mit der weitweit größten VR- und Game Engine Unity) so modular und erweiterbar entwickelt, dass unsere App mit möglichst vielen VR-Erlebnissen verknüpft werden kann. Es wird uns leichter, als anderen Mitbewerbern fallen, fast jeden VR-Inhalt (und somit auch Shops) anzubinden. Selbst, wenn das in einigen Fällen nicht automatisch gehen sollte, wäre der Aufwand für ein Unternehmen, ihren Shop für uns anknüpfbar zu machen, sehr gering (3D kann importiert werden und für die Funktionalität des Einkaufens bieten wir eine eigene Lösung an).
- Es ist unser Ziel, connect zum größten VR-Netzwerk der Welt zu entwickeln, also so flexibel erweiterbar, dass möglichst jeder VR-Inhalt mit unserer VR-Welt verbunden werden kann. Wir haben hier sehr viel Zeit und Geld in die Entwicklung eines plattformunabhängigen, modularen Systems gesteckt, das diesen Anforderungen besser als jeder Mitbewerber gerecht werden kann. Details bitte persönlich besprechen. 
- VR-Shopping wird langfristig einen ähnlich großen Markt wie Online-Shopping erzielen und wenn es uns gelingt, DIE Anlaufstelle für VR-Shops zu werden, um an neue Kunden zu kommen, dann wird dieses Geschäftsmodell mit Abstand alle übrigen (ohnehin bereits sehr lukrativen) in den Schatten stellen. 
- Kein Mensch lädt eine eigene Software herunter, registriert sich extra, stellt Bezahlmöglichkeiten ein, kümmert sich um Updates, Patches und Geräteinkompatibilitäten, nur, um Zugang zu einem VR-Shop zu erhalten, dessen Anbieter er nicht einmal kennt. Die User müssen komplett ohne Aufwand auf die Idee gebracht werden, dass es diese Produkte in VR zu kaufen gibt und sie ihrem Interesse entsprechen. Sie laufen durch eine virtuelle Stadt, wo jene Shops, die sie speziell interessieren, instanziert werden, oder sie bekommen Vorschläge am virtuellen Fernseher (wie TV-Sender) und teleportieren sich rein.
- Jeder Anbieter eines VR-Shops wird auf eine Vermittlung wie die unsere angewiesen sein, um an Kunden zu kommen. Menschen kaufen auch lieber bei Amazon ein, als den Online-Shop eines unbekannten kleines Anbieters zu suchen, zu finden und sich dort anzumelden. In VR ist der Aufwand noch viel höher, weil eine 3D-Shop-Umgebung manuell heruntergeladen und installiert werden müsste, anstatt über uns automatisch verknüpft zu werden.
- Eine Steigerung um rund 10 Cent pro Quartal ist realistisch, das entspräche bei 5% Provision einem Anwachsen der durchschnittlichen monatlichen Shopping-Ausgaben um 2 € (bzw. 8 € pro Jahr). Verglichen mit den Einkünften durch Online-Shopping, ist das sehr vorsichtig.
- VR-Shops haben werden langfristig deutlich beliebter sein, als Online-Shops, weil der User seine Einkäufe an seinem virtuellen Avatar (Spielfigur) in fotorealistischer Grafik erproben kann. Z.B. sammelt eine Frau hunderte virtuelle Schuhe aus VR-Shops in ihrem virtuellen Zuhause, probiert diese mit ihrem Avatar (der aussieht, wie sie) an und bestellt ihre Lieblingsschuhe dann direkt über connect bzw. den angebundenen VR-Shop. Darüber kann jedes Produkt in VR von allen Seiten betrachtet werden und der User kann damit interagieren, z.B. Kamera-Funktionen ausprobieren oder aus verschiedenen Modellen wählen (z.B. verschiedene Materialien, Farben etc.). Die VR-Welt ist auch übersichtlicher und virtuell erprobte Produkte lassen sich in VR Freunden zeigen, was zu Feedback und Bestätigung ("Ja, das Kleid steht dir!") führt. </t>
        </r>
      </text>
    </comment>
    <comment ref="D24" authorId="0">
      <text>
        <r>
          <rPr>
            <b/>
            <sz val="9"/>
            <color indexed="81"/>
            <rFont val="Tahoma"/>
            <family val="2"/>
          </rPr>
          <t>Michael Schöggl:</t>
        </r>
        <r>
          <rPr>
            <sz val="9"/>
            <color indexed="81"/>
            <rFont val="Tahoma"/>
            <family val="2"/>
          </rPr>
          <t xml:space="preserve">
- Der Schätzwert zu Frage 7 (Einnahmen durch 2.3, 2.4 und 2.5) wird gleichmäßig auf 2.3, 2.4 und 2.5 aufgeteilt. In Wirklichkeit wird die Verteilung zwar ziemlich sicher nicht gleichmäßig sein, aber für das Ergebnis ist das irrelevant.</t>
        </r>
      </text>
    </comment>
    <comment ref="A25" authorId="0">
      <text>
        <r>
          <rPr>
            <b/>
            <sz val="9"/>
            <color indexed="81"/>
            <rFont val="Tahoma"/>
            <family val="2"/>
          </rPr>
          <t>Michael Schöggl:</t>
        </r>
        <r>
          <rPr>
            <sz val="9"/>
            <color indexed="81"/>
            <rFont val="Tahoma"/>
            <family val="2"/>
          </rPr>
          <t xml:space="preserve">
- Alle Product Placement Objekte in connect sollen ab 2021 auch gekauft werden können. Wir sprechen bereits mit Wirecard bezüglich Bezahlsystem und Kooperation. 
- Eine Zusammenarbeit mit Amazon (für die Logistik) wäre perfekt, ansonsten könnten wir auch nur vermitteln und der Produzent übernimmt selbst den Versand. Wir würden dann direkt zwischen Produzent und Konsument vermitteln, Provision verdienen, den Zwischenhandel ausschalten und den Versand den Unternehmen (oder Amazon) überlassen. 
- Wir rechnen mit 10% an Provision (dieser Richtwert muss erst von Experten geprüft werden, aber wenn der gesamte Zwischenhandel wegfällt und nur der Vertrieb übrig bleibt, sollte das mehr als fair sein).
- Langfristig können praktisch alle Produkte in unserer VR-Welt repräsentiert werden, entweder im virtuellen Zuhause (mit Büro) der User (auch im echten Zuhause lassen sich 95% aller Konsum-Produkte im Zuhause oder Büro finden) oder in Social Places, wie z.B. Bar, Kino, Shop, Stadt, Urlaubsziel etc.
- Vorteil: Im echten Leben wäre es sehr aufwendig, kostspielig und aufgrund mangelnder Informationen kaum schaffbar, genau jene Produkte, die unsere User interessieren, dort virtuell zu platzieren, wo sie schnell und unaufdringlich wahrgenommen werden. In VR ist das kinderleicht. 
- Die Objekte hätten dieselbe Funktion wie im realen Leben (damit der Zugang spielerisch ist und der User häufig interagiert) und der User könnte frei entscheiden, welche Produkte auftauchen dürfen (bzw. er direkt selbst auswählt und platziert) und welche nicht (damit es keine aufdringliche Werbung ist - gilt natürlich nicht für Social Places).
- User richten ihr virtuelles Zuhause mit virtuellen Gegenständen ein, die sie jederzeit direkt bestellen können - oder sie können in connect einstellen, wann welche Markenprodukte automatisch geliefert werden sollen, z.B. wenn das Klopapier ausgeht. Die Darstellung eines Mangels könnte im VR-Zuhause mit dem realen Zuhause übereinstimmen.</t>
        </r>
      </text>
    </comment>
    <comment ref="B25" authorId="0">
      <text>
        <r>
          <rPr>
            <b/>
            <sz val="9"/>
            <color indexed="81"/>
            <rFont val="Tahoma"/>
            <family val="2"/>
          </rPr>
          <t>Michael Schöggl:</t>
        </r>
        <r>
          <rPr>
            <sz val="9"/>
            <color indexed="81"/>
            <rFont val="Tahoma"/>
            <family val="2"/>
          </rPr>
          <t xml:space="preserve">
</t>
        </r>
        <r>
          <rPr>
            <b/>
            <sz val="9"/>
            <color indexed="81"/>
            <rFont val="Tahoma"/>
            <family val="2"/>
          </rPr>
          <t>Wieviel € pro User nehmen wir durch Provision für den Einkauf von Product Placement Produkten innerhalb unserer eigenen VR-Inhalte ein?</t>
        </r>
        <r>
          <rPr>
            <sz val="9"/>
            <color indexed="81"/>
            <rFont val="Tahoma"/>
            <family val="2"/>
          </rPr>
          <t xml:space="preserve">
</t>
        </r>
        <r>
          <rPr>
            <u/>
            <sz val="9"/>
            <color indexed="81"/>
            <rFont val="Tahoma"/>
            <family val="2"/>
          </rPr>
          <t>Begründung für diesen Wert</t>
        </r>
        <r>
          <rPr>
            <sz val="9"/>
            <color indexed="81"/>
            <rFont val="Tahoma"/>
            <family val="2"/>
          </rPr>
          <t>:
- Im Gegensatz zur Provision, wenn User in einem fremden VR-Shop einkaufen, bezieht sich diese Provision auf den Einkauf von Produkten, die direkt in den virtuellen Szenen, die wir selbst anbieten, positioniert waren. 
- Zu Beginn, mit 2021, wird nur ein Teil der Product Placement Partner bereit sein, dieser Erweiterung auf In-App-Käufe zuzustimmen (schließlich müssen wir zeigen, dass sich der Aufwand lohnt). Durch erste Erfolgszahlen werden sich immer mehr überzeugen lassen. Wir rechnen also mit einem langsamen Start. 
- Es ist sehr schwer abzuschätzen, wieviele unserer User direkt über connect einkaufen werden. Über das Internet kaufen Menschen sehr gerne ein, ebenso über Amazon. Wenn es uns gelingen würde, zu einem der beliebtesten Einkaufsorte in VR zu werden, würden wir mit ca. 5-20 € pro User und Jahr (nicht Monat) rechnen können. Realistisch ist jedoch weiteraus weniger:
- Schätzwert 2021: Jeder 100ste User kauft einmal im Jahr über uns ein Produkt um durchschnittlich 100 € (die meisten Produkte, wie Möbel, technische Geräte etc. sind teurer) und wir erhalten 10% Provision daran. Das entspräche nicht ganz 1 Cent pro User und Monat, unser Startwert.</t>
        </r>
      </text>
    </comment>
    <comment ref="C25" authorId="0">
      <text>
        <r>
          <rPr>
            <b/>
            <sz val="9"/>
            <color indexed="81"/>
            <rFont val="Tahoma"/>
            <family val="2"/>
          </rPr>
          <t>Michael Schöggl:</t>
        </r>
        <r>
          <rPr>
            <sz val="9"/>
            <color indexed="81"/>
            <rFont val="Tahoma"/>
            <family val="2"/>
          </rPr>
          <t xml:space="preserve">
</t>
        </r>
        <r>
          <rPr>
            <b/>
            <sz val="9"/>
            <color indexed="81"/>
            <rFont val="Tahoma"/>
            <family val="2"/>
          </rPr>
          <t>Um wieviel € pro Quartal steigern sich die Einnahmen durch Provision für den Verkauf von Produkten direkt innerhalb der connect VR-Umgebung?</t>
        </r>
        <r>
          <rPr>
            <sz val="9"/>
            <color indexed="81"/>
            <rFont val="Tahoma"/>
            <family val="2"/>
          </rPr>
          <t xml:space="preserve">
</t>
        </r>
        <r>
          <rPr>
            <u/>
            <sz val="9"/>
            <color indexed="81"/>
            <rFont val="Tahoma"/>
            <family val="2"/>
          </rPr>
          <t>Begründung für diesen Wert</t>
        </r>
        <r>
          <rPr>
            <sz val="9"/>
            <color indexed="81"/>
            <rFont val="Tahoma"/>
            <family val="2"/>
          </rPr>
          <t>:
- Schätzwert 2021: Jeder 100ste User kauft einmal im Jahr über uns ein Produkt um durchschnittlich 100 € (die meisten Produkte, wie Möbel, technische Geräte etc. sind teurer) und wir erhalten 10% Provision daran. Das entspräche nicht ganz 1 Cent pro User und Monat, unser Startwert.
- Schätzwerte 2024: Jeder 10te User kauft pro Jahr über connect Produkte im Wert von 300 €, wir erhalten 10% Provision. Das entspräche 0,25 € pro User und Monat, unser Zielwert. 
- Langfristig können wir die Einnahmen über dieses Geschäftsmodell deutlich steigern, wenn unsere VR-Welt wächst (also unsere User auch virtuelle Kinokarten, Reisen, Flüge, Gutscheine, Möbel, Geschenke, Dekoration, etc. kaufen) oder wenn wir dieses Geschäftsmodell um Essens-Lieferservices oder Abos für Alltags-Konsumgüter bzw. Lebensmittel erweitern. 
- Beispiel 1: Wir bieten einen eigenen Lieferservice an, bei dem der User auf einer virtuellen Karte am Schreibtisch die Position der Lieferung verfolgen kann. Die Auswahl der Speisen erfolgt über virtuelle Darstellungen derselben (z.B. auf einem Teller am Schreibtisch). Wir bauen ein automatisches System, wo jedes Restaurant sich einfach anmelden kann und wir übernehmen die Lieferung (durch Studenten, die mit einer App den kürzesten Weg angezeigt bekommen und mit dem eigenen Auto für alle Restaurants im Einzugsgebiet gleichermaßen arbeiten). 
- Beispiel 2: Beim virtuellen Kühlschrank stelle ich ein, welche Produkte in welcher Menge im echten Kühlschrank aufzufinden sein sollen - und bevor sie vollständig aufgebraucht werden (oder spätestens danach), wird automatisch Nachschub geliefert. Dasselbe für den Inhalt von Regalen, für Drogerieprodukte, Tierfutter etc.
- Es gibt endlos viele Möglichkeiten, mit einer virtuellen Welt Geld zu verdienen, aber diese langfristigen Ideen (Beispiel 1 und 2) fließen nicht in unsere Prognose ein, dafür sind sie viel zu zukunftsfern. Daher rechnen wir zunächst mit 1 Cent bis knapp 25 Cent pro User und Monat, bzw. mit einer Steigerung um 2 Cent pro Quartal.</t>
        </r>
      </text>
    </comment>
    <comment ref="D25" authorId="0">
      <text>
        <r>
          <rPr>
            <b/>
            <sz val="9"/>
            <color indexed="81"/>
            <rFont val="Tahoma"/>
            <family val="2"/>
          </rPr>
          <t>Michael Schöggl:</t>
        </r>
        <r>
          <rPr>
            <sz val="9"/>
            <color indexed="81"/>
            <rFont val="Tahoma"/>
            <family val="2"/>
          </rPr>
          <t xml:space="preserve">
- Der Schätzwert zu Frage 7 (Einnahmen durch 2.3, 2.4 und 2.5) wird gleichmäßig auf 2.3, 2.4 und 2.5 aufgeteilt. In Wirklichkeit wird die Verteilung zwar ziemlich sicher nicht gleichmäßig sein, aber für das Ergebnis ist das irrelevant.</t>
        </r>
      </text>
    </comment>
    <comment ref="A26" authorId="0">
      <text>
        <r>
          <rPr>
            <b/>
            <sz val="9"/>
            <color indexed="81"/>
            <rFont val="Tahoma"/>
            <family val="2"/>
          </rPr>
          <t>Michael Schöggl:</t>
        </r>
        <r>
          <rPr>
            <sz val="9"/>
            <color indexed="81"/>
            <rFont val="Tahoma"/>
            <family val="2"/>
          </rPr>
          <t xml:space="preserve">
- Medien können ein monatliches Abo bezahlen, um an Big Data Informationen zu kommen.
- Zu Beginn werden nur wenige Medien dieses Abo verwenden, aber je mehr User wir haben, umso mehr Medien werden in connect vertreten sein und umso mehr Medien werden auch diese verhältnismäßig moderaten Kosten gerne bezahlen, um mehr Informationen über ihre Rezipienten zu erhalten. 
- Diese Informationen helfen den Medien, die Werbeerträge zu steigern, weil sie die gewonnenen Informationen auch ihren Werbepartnern weitergeben können. Somit macht sich ein Abo auf jeden Fall schnell bezahlt.
- Wir würden die Kosten so gestalten, dass sie basierend auf Erfahrungswerten den Medien einen netten Gewinn ermöglichen, wenn sie die User-Daten an die Werbepartner weiterverkaufen. 
- Wir rechnen damit, dass jedem Werbepartner die anonymisierten Daten über jeden erreichten Konsumenten rund 0,5 Cent wert sind (also 500 Euro bei 100.000 erreichten Kunden), wir davon 0,2 Cent verlangen können (0,3 Cent gehen an die Medienpartner und motivieren sie zu diesem "Abo") und dass unsere User im Monat rund 50 Werbungen in connect konsumieren. Das bedeutet Einnahmen in Höhe von rund 10 Cent pro User und Monat langfristig. 
</t>
        </r>
      </text>
    </comment>
    <comment ref="B26" authorId="0">
      <text>
        <r>
          <rPr>
            <b/>
            <sz val="9"/>
            <color indexed="81"/>
            <rFont val="Tahoma"/>
            <family val="2"/>
          </rPr>
          <t xml:space="preserve">Michael Schöggl:
Wieviel € pro Monat und User verdienen wir im Schnitt mit unserem Medien-Abo?
</t>
        </r>
        <r>
          <rPr>
            <u/>
            <sz val="9"/>
            <color indexed="81"/>
            <rFont val="Tahoma"/>
            <family val="2"/>
          </rPr>
          <t xml:space="preserve">
Begründung für diesen Wert</t>
        </r>
        <r>
          <rPr>
            <sz val="9"/>
            <color indexed="81"/>
            <rFont val="Tahoma"/>
            <family val="2"/>
          </rPr>
          <t xml:space="preserve">: </t>
        </r>
        <r>
          <rPr>
            <b/>
            <sz val="9"/>
            <color indexed="81"/>
            <rFont val="Tahoma"/>
            <family val="2"/>
          </rPr>
          <t xml:space="preserve">
</t>
        </r>
        <r>
          <rPr>
            <sz val="9"/>
            <color indexed="81"/>
            <rFont val="Tahoma"/>
            <family val="2"/>
          </rPr>
          <t xml:space="preserve">
- Wir rechnen damit, dass jedem Werbepartner die anonymisierten Daten über jeden erreichten Konsumenten rund 0,5 Cent wert sind (also 500 Euro bei 100.000 erreichten Kunden). 
- Davon sind 0,2 Cent für uns und 0,3 Cent gehen an die Medienpartner und motivieren sie zu Abschluss dieses "Abos".
- Unsere User werden im Monat im Schnitt zwischen 50 (Beginn) und 300 (langfristig) Werbbeiträge in Medien (Video, Audio, Internet, Print) konsumieren. Das bedeutet Einnahmen in Höhe von rund 10 bis 60 Cent pro Monat und User. 
- Für unsere Prognose starten wir vorsichtig mit 0,01 €, weil es eine Zeit dauern wird, bis unsere Medienpartner vom Abo überzeugt sind und es genügend Medien-Inhalte in connect gibt, sodass auch genügend Werbung darin enthalten ist, um diese Werte (50 pro Monat) zu erreichen.</t>
        </r>
      </text>
    </comment>
    <comment ref="C26" authorId="0">
      <text>
        <r>
          <rPr>
            <b/>
            <sz val="9"/>
            <color indexed="81"/>
            <rFont val="Tahoma"/>
            <family val="2"/>
          </rPr>
          <t>Michael Schöggl:</t>
        </r>
        <r>
          <rPr>
            <sz val="9"/>
            <color indexed="81"/>
            <rFont val="Tahoma"/>
            <family val="2"/>
          </rPr>
          <t xml:space="preserve">
</t>
        </r>
        <r>
          <rPr>
            <b/>
            <sz val="9"/>
            <color indexed="81"/>
            <rFont val="Tahoma"/>
            <family val="2"/>
          </rPr>
          <t>Um wieviel € pro Quartal werden sich die monatlichen Einnahmen durch das Medien-Abo erhöhen?</t>
        </r>
        <r>
          <rPr>
            <sz val="9"/>
            <color indexed="81"/>
            <rFont val="Tahoma"/>
            <family val="2"/>
          </rPr>
          <t xml:space="preserve">
</t>
        </r>
        <r>
          <rPr>
            <u/>
            <sz val="9"/>
            <color indexed="81"/>
            <rFont val="Tahoma"/>
            <family val="2"/>
          </rPr>
          <t>Begründung für diesen Wert</t>
        </r>
        <r>
          <rPr>
            <sz val="9"/>
            <color indexed="81"/>
            <rFont val="Tahoma"/>
            <family val="2"/>
          </rPr>
          <t>:
- Wir schätzen hier sehr vorsichtig, auch wenn wir langfristig bis zu 60 Cent pro User und Monat durch diesen Zugang einnehmen könnten. 
- Der Erfolg dieses Geschäftsmodells ist viel stärker, als der unserer anderen Einnahmequellen unsicher und schwer durch Vergleiche mit anderen Produkten abschätzbar. Dass ein Freemium-Modell funktioniert, haben tausende Apps bewiesen, ebenso, dass Product Placement funktionieren wird. Big Data hat zwar auch eine erfolgreiche Geschichte, aber in dieser Zugang über ein Abosystem ist relativ neu. 
- Es ist gut möglich, dass wir über dieses Geschäftsmodell deutlich mehr einnehmen können, als nun prognostiziert, aber es ist ebenso gut möglich, dass der Zugang überhaupt nicht funktioniert. Immerhin ist die Medienschnittstelle grundsätzlich kostenlos und ein optionales Abo mit Extrakosten muss sich erst durchsetzen. Der Mehrwert von Big Data Informationen für die Werbetreibenden zuerst und dann in Folge für die Medienpartner müsste erst bewiesen werden.</t>
        </r>
      </text>
    </comment>
    <comment ref="A27" authorId="0">
      <text>
        <r>
          <rPr>
            <b/>
            <sz val="9"/>
            <color indexed="81"/>
            <rFont val="Tahoma"/>
            <family val="2"/>
          </rPr>
          <t>Michael Schöggl:</t>
        </r>
        <r>
          <rPr>
            <sz val="9"/>
            <color indexed="81"/>
            <rFont val="Tahoma"/>
            <family val="2"/>
          </rPr>
          <t xml:space="preserve">
- Sehr langfristig (geplant ab 2021) können wir in der immer größer werdenden connect-Welt (erweitert durch Inhalte von Partnern, Drittanbietern und später vllt sogar der User selbst) auch virtuelle Grundstücke (z.B. an VR-Shops aber auch an User) verkaufen. 
- Ähnliches hat Second Life gemacht und das Interesse für Businesspartner war größer, als der tatsächliche Nutzen. Daher werden nun Business-Partner durch diese Lektion eher vorsichtig sein und es wird etwas dauern, bis sich dieser Zugang durchsetzt. 
- Wir listen hier dieses Geschäftsmodell auf, um bei sehr optimistischen Prognosen Einnahmen darstellen zu können, 
rechnen in einer realistischen Prognose aber nicht damit (0). 
- Zwischen der ersten Facebook Homepage und dem, was Facebook heute ist, besteht ein riesen Unterschied. Und auch connect wird sich bei Erfolg gewaltig weiterentwickeln und bestimmt längerfristig neue Geschäftsmodelle wie jenes des Verkaufs von virtuellen Grundstücken, bezahlten Teleportationen in einer riesigen Welt oder dem Kauf von Avataren (Spielerfiguren) oder deren Ausrüstung eröffnen. Aber es ist zu gewagt, diese Einnahmen jetzt schon unter der Bezeichnung "realistische Prognose" abzuschätzen.</t>
        </r>
      </text>
    </comment>
    <comment ref="B27" authorId="0">
      <text>
        <r>
          <rPr>
            <b/>
            <sz val="9"/>
            <color indexed="81"/>
            <rFont val="Tahoma"/>
            <family val="2"/>
          </rPr>
          <t>Michael Schöggl:</t>
        </r>
        <r>
          <rPr>
            <sz val="9"/>
            <color indexed="81"/>
            <rFont val="Tahoma"/>
            <family val="2"/>
          </rPr>
          <t xml:space="preserve">
</t>
        </r>
        <r>
          <rPr>
            <b/>
            <sz val="9"/>
            <color indexed="81"/>
            <rFont val="Tahoma"/>
            <family val="2"/>
          </rPr>
          <t>Wieviel € könnten wir langfristig mit dem Verkauf von virtuellen Grundstücken, Avataren, Ausrüstungen oder Teleportationen in einer riesigen VR-Welt verdienen?</t>
        </r>
        <r>
          <rPr>
            <sz val="9"/>
            <color indexed="81"/>
            <rFont val="Tahoma"/>
            <family val="2"/>
          </rPr>
          <t xml:space="preserve">
</t>
        </r>
        <r>
          <rPr>
            <u/>
            <sz val="9"/>
            <color indexed="81"/>
            <rFont val="Tahoma"/>
            <family val="2"/>
          </rPr>
          <t>Begründung für diesen Wert</t>
        </r>
        <r>
          <rPr>
            <sz val="9"/>
            <color indexed="81"/>
            <rFont val="Tahoma"/>
            <family val="2"/>
          </rPr>
          <t xml:space="preserve">:
- Zu viele Voraussetzungen, zeitlich zu weit entfernt, zu viele Unsicherheiten, zu wenig Vergleiche - daher gehen wir für die realistische Prognose von 0 Einnahmen aus. </t>
        </r>
      </text>
    </comment>
    <comment ref="C27" authorId="0">
      <text>
        <r>
          <rPr>
            <b/>
            <sz val="9"/>
            <color indexed="81"/>
            <rFont val="Tahoma"/>
            <family val="2"/>
          </rPr>
          <t>Michael Schöggl:</t>
        </r>
        <r>
          <rPr>
            <sz val="9"/>
            <color indexed="81"/>
            <rFont val="Tahoma"/>
            <family val="2"/>
          </rPr>
          <t xml:space="preserve">
</t>
        </r>
        <r>
          <rPr>
            <b/>
            <sz val="9"/>
            <color indexed="81"/>
            <rFont val="Tahoma"/>
            <family val="2"/>
          </rPr>
          <t>Um wieviel € pro Quartal könnten sich die Einnahmen durch den Verkauf von virtuellen Grundstücken, Avataren, Ausrüstungen oder Teleportationen in einer riesigen VR-Welt erhöhen?</t>
        </r>
        <r>
          <rPr>
            <sz val="9"/>
            <color indexed="81"/>
            <rFont val="Tahoma"/>
            <family val="2"/>
          </rPr>
          <t xml:space="preserve">
</t>
        </r>
        <r>
          <rPr>
            <u/>
            <sz val="9"/>
            <color indexed="81"/>
            <rFont val="Tahoma"/>
            <family val="2"/>
          </rPr>
          <t>Begründung für diesen Wert</t>
        </r>
        <r>
          <rPr>
            <sz val="9"/>
            <color indexed="81"/>
            <rFont val="Tahoma"/>
            <family val="2"/>
          </rPr>
          <t xml:space="preserve">:
- Zu viele Annahmen, zeitlich zu weit entfernt, zu viele Unsicherheiten, zu wenig Vergleiche - daher gehen wir für die realistische Prognose von 0 Einnahmen aus. </t>
        </r>
      </text>
    </comment>
    <comment ref="A28" authorId="0">
      <text>
        <r>
          <rPr>
            <b/>
            <sz val="9"/>
            <color indexed="81"/>
            <rFont val="Tahoma"/>
            <family val="2"/>
          </rPr>
          <t>Michael Schöggl:</t>
        </r>
        <r>
          <rPr>
            <sz val="9"/>
            <color indexed="81"/>
            <rFont val="Tahoma"/>
            <family val="2"/>
          </rPr>
          <t xml:space="preserve">
- User werden ab ca. 2022 die Möglichkeit haben, eigene Medien "zu verlegen". Es können sich Gruppen bilden, die gemeinsam einen Fernseh- oder Radiokanal "bespielen", es wird die Möglichkeit geben, themenspezifische Artikel zu schreiben, die dann in virtuellen Zeitungen veröffentlicht werden, etc. 
- Wir überlasses es komplett dem freien Markt, welche neuen Medien mit welchen Inhalten oder Mitarbeitern und welchen Regeln (unentgeltlich, bezahlt, etc.) entstehen. Wir werden einen Baukasten anbieten, damit alle Einstellungen möglich sind - von Bezahlung pro Artikel bis hin zu Systemen, bei denen jeder Medienmitarbeiter abhängig von der Reichweite, Beliebtheit oder Bewertung seiner Beiträge einen Anteil der Werbeeinnahmen erhält.
- Nicht nur, aber vor allem in Video-Medien (Fernsehsender, Videoblog, etc.) werden unsere User bei Interesse Werbung schalten können und damit Geld verdienen können (vgl. YouTube, nur nicht als One-Man-Show, sondern als freies Unternehmen mit automatisierten Regeln). 
- Wir würden einen Anteil der Werbeeinnahmen in Höhe von ca. 30% verlangen. Eventuell sogar deutlich mehr, wie bei YouTube, wo keine/wenig Transparenz herrscht, aber die YouTuber bestimmt deutlich weniger als 70% erhalten. 
- Vergleiche mit YouTube und Co zeigen, dass wir bei starkem Interesse an diesen "frei gewachsenen Medien" auch rund 0,3 bis 2 Euro pro User und Monat einnehmen könnten, aber dieses Geschäftsmodell ist zu weit von der Realisierung entfernt, um in der realistischen Prognose Einnahmen zu erwarten.</t>
        </r>
      </text>
    </comment>
    <comment ref="B28" authorId="0">
      <text>
        <r>
          <rPr>
            <b/>
            <sz val="9"/>
            <color indexed="81"/>
            <rFont val="Tahoma"/>
            <family val="2"/>
          </rPr>
          <t>Michael Schöggl:</t>
        </r>
        <r>
          <rPr>
            <sz val="9"/>
            <color indexed="81"/>
            <rFont val="Tahoma"/>
            <family val="2"/>
          </rPr>
          <t xml:space="preserve">
</t>
        </r>
        <r>
          <rPr>
            <b/>
            <sz val="9"/>
            <color indexed="81"/>
            <rFont val="Tahoma"/>
            <family val="2"/>
          </rPr>
          <t xml:space="preserve">
Wieviel € pro User nehmen wir im Monat durch einen Anteil der Werbeeinnahmen der usergenerierten Medien ein?</t>
        </r>
        <r>
          <rPr>
            <sz val="9"/>
            <color indexed="81"/>
            <rFont val="Tahoma"/>
            <family val="2"/>
          </rPr>
          <t xml:space="preserve">
</t>
        </r>
        <r>
          <rPr>
            <u/>
            <sz val="9"/>
            <color indexed="81"/>
            <rFont val="Tahoma"/>
            <family val="2"/>
          </rPr>
          <t>Begründung für diesen Wert</t>
        </r>
        <r>
          <rPr>
            <sz val="9"/>
            <color indexed="81"/>
            <rFont val="Tahoma"/>
            <family val="2"/>
          </rPr>
          <t>:
- Dieses Geschäftsmodell (vergleichbar mit YouTube bzw. Twitch, nur erweitert auf Audio, Print, Internet, VR und erweitert um ganze Unternehmenstrukturen statt Einzel-Accounts) ist noch zu weit von der Realisierung entfernt (ab 2022), daher gehen wir aktuell von 0 Einnahmen aus.</t>
        </r>
      </text>
    </comment>
    <comment ref="C28" authorId="0">
      <text>
        <r>
          <rPr>
            <b/>
            <sz val="9"/>
            <color indexed="81"/>
            <rFont val="Tahoma"/>
            <family val="2"/>
          </rPr>
          <t>Michael Schöggl:</t>
        </r>
        <r>
          <rPr>
            <sz val="9"/>
            <color indexed="81"/>
            <rFont val="Tahoma"/>
            <family val="2"/>
          </rPr>
          <t xml:space="preserve">
</t>
        </r>
        <r>
          <rPr>
            <b/>
            <sz val="9"/>
            <color indexed="81"/>
            <rFont val="Tahoma"/>
            <family val="2"/>
          </rPr>
          <t>Um wieviel € pro Quartal wird sich der Anteil an den monatlichen Werbeeinnahmen durch usergenerierte Medien erhöhen?</t>
        </r>
        <r>
          <rPr>
            <sz val="9"/>
            <color indexed="81"/>
            <rFont val="Tahoma"/>
            <family val="2"/>
          </rPr>
          <t xml:space="preserve">
</t>
        </r>
        <r>
          <rPr>
            <u/>
            <sz val="9"/>
            <color indexed="81"/>
            <rFont val="Tahoma"/>
            <family val="2"/>
          </rPr>
          <t>Begründung für diesen Wert</t>
        </r>
        <r>
          <rPr>
            <sz val="9"/>
            <color indexed="81"/>
            <rFont val="Tahoma"/>
            <family val="2"/>
          </rPr>
          <t>:
- Dieses Geschäftsmodell (vergleichbar mit YouTube bzw. Twitch, nur erweitert auf Audio, Print, Internet, VR und erweitert um ganze Unternehmenstrukturen statt Einzel-Accounts) ist noch zu weit von der Realisierung entfernt (ab 2022), daher gehen wir aktuell von 0 Einnahmen aus.</t>
        </r>
      </text>
    </comment>
    <comment ref="A29" authorId="0">
      <text>
        <r>
          <rPr>
            <b/>
            <sz val="9"/>
            <color indexed="81"/>
            <rFont val="Tahoma"/>
            <family val="2"/>
          </rPr>
          <t>Michael Schöggl:</t>
        </r>
        <r>
          <rPr>
            <sz val="9"/>
            <color indexed="81"/>
            <rFont val="Tahoma"/>
            <family val="2"/>
          </rPr>
          <t xml:space="preserve">
- Wir haben die Möglichkeit, z.B. Product Placement Partnern anzubieten, dass diese für eine einmalige Pauschale für einen gewissen Zeitraum oder eine konkret festgelegte Werbeleistung ihre Product Placement Werbung kostenlos erhalten. 
- Für die Unternehmen würde sich das eventuell lohnen, weil sie so - durch ihren Vertrauensvorschuss in unsere Leistung - ein deutlich günstigeres, besseres Angebot erhalten könnten, als andere Partner. 
- Für uns würden diese höheren Einnahmen die Basis für mehr Werbekapital und dadurch mehr Wachstum bieten und sich insofern auch lohnen, auch wenn wir langfristig rein durch die Product Placement Gebühr weniger einnehmen sollten. Sobald wir genügend User haben, dass das Vertrauen in unsere Plattform vorhanden ist, wäre dieser Zugang eine gute Lösung um schnell Einnahmen zu generieren, wenn dies aus irgendwelchen Gründen Sinn macht bzw. wir schnell Kapital benötigen. 
- Diese Zeile gilt auch für Einnahmen durch einmalige Werbeaktionen (z.B. Flyer am virtuellen Schreibtisch, Spiderman schwingt durch die virtuelle Stadt und klatscht gegen das Fenster, Trailer von Filmen am virtuellen Fernseher anzeigen, etc.).
- Wir haben hier keinen Wert eingesetzt, beim Eintragen eines Wertes bitte beachten, dass dieser ausnahmsweise für das gesamte Quartal und nicht für jeden Monat gilt. </t>
        </r>
      </text>
    </comment>
    <comment ref="B29" authorId="0">
      <text>
        <r>
          <rPr>
            <b/>
            <sz val="9"/>
            <color indexed="81"/>
            <rFont val="Tahoma"/>
            <family val="2"/>
          </rPr>
          <t xml:space="preserve">Michael Schöggl:
</t>
        </r>
        <r>
          <rPr>
            <sz val="9"/>
            <color indexed="81"/>
            <rFont val="Tahoma"/>
            <family val="2"/>
          </rPr>
          <t xml:space="preserve">
Bitte die einmaligen Einnahmen durch Partner nur jeweils in der entsprechenden Spalte für die Schätzwerte des jeweiligen Quartals eintragen. Der eingetragene Wert gilt dann für das gesamte Quartal und nicht monatlich.</t>
        </r>
      </text>
    </comment>
    <comment ref="D29" authorId="0">
      <text>
        <r>
          <rPr>
            <b/>
            <sz val="9"/>
            <color indexed="81"/>
            <rFont val="Tahoma"/>
            <family val="2"/>
          </rPr>
          <t xml:space="preserve">Michael Schöggl:
</t>
        </r>
        <r>
          <rPr>
            <sz val="9"/>
            <color indexed="81"/>
            <rFont val="Tahoma"/>
            <family val="2"/>
          </rPr>
          <t xml:space="preserve">
Bitte die einmaligen Einnahmen durch Partner nur jeweils in der entsprechenden Spalte für die Schätzwerte des jeweiligen Quartals eintragen. Der eingetragene Wert gilt dann für das gesamte Quartal und nicht monatlich.</t>
        </r>
      </text>
    </comment>
    <comment ref="A30" authorId="0">
      <text>
        <r>
          <rPr>
            <b/>
            <sz val="9"/>
            <color indexed="81"/>
            <rFont val="Tahoma"/>
            <family val="2"/>
          </rPr>
          <t>Michael Schöggl:</t>
        </r>
        <r>
          <rPr>
            <sz val="9"/>
            <color indexed="81"/>
            <rFont val="Tahoma"/>
            <family val="2"/>
          </rPr>
          <t xml:space="preserve">
Achtung: Bei den Schätzwerten wurden hier die Summen der jeweiligen </t>
        </r>
        <r>
          <rPr>
            <u/>
            <sz val="9"/>
            <color indexed="81"/>
            <rFont val="Tahoma"/>
            <family val="2"/>
          </rPr>
          <t>Quartale</t>
        </r>
        <r>
          <rPr>
            <sz val="9"/>
            <color indexed="81"/>
            <rFont val="Tahoma"/>
            <family val="2"/>
          </rPr>
          <t xml:space="preserve"> angegeben, auch wenn in den Zeilen darüber die Werte pro Monat stehen!
Allgemein gilt: Die Summenwerte mit dunklerem Hintergrund beziehen sich auf die Quartale, die Werte auf hellerem Hintergrund auf die Monate.</t>
        </r>
      </text>
    </comment>
    <comment ref="A32" authorId="0">
      <text>
        <r>
          <rPr>
            <b/>
            <sz val="9"/>
            <color indexed="81"/>
            <rFont val="Tahoma"/>
            <family val="2"/>
          </rPr>
          <t>Michael Schöggl:</t>
        </r>
        <r>
          <rPr>
            <sz val="9"/>
            <color indexed="81"/>
            <rFont val="Tahoma"/>
            <family val="2"/>
          </rPr>
          <t xml:space="preserve">
- Die Schätzung der Kosten ist in manchen Bereichen vermutlich deutlich zu hoch, aber das soll uns einen Sicherheitsspielraum in der Prognose gegeben und nicht so missverstanden werden, dass wir nicht sparsam wirtschaften wollen. 
- Je nach Erfolg (primär gemessen durch die Unterschiede zwischen Realität und Prognose) werden wir bei einer schlechten Entwicklung bei den Ausgaben größere Einsparungen vornehmen, schließlich haben wir beinahe nur Personalkosten, bzw. allgemein sehr flexible Kosten, die mit dem Personal zusammenhängen. 
- Im Worst Case Szenario könnten wir mit weniger als 10.000 € pro Monat "überleben" und die Zeit mit der eigenen, kaum bezahlten Arbeit ausharren, bis unsere Userzahlen und damit auch die Einnahmen entsprechend ansteigen. Wirklich notwendig sind nur die Kosten für einen Software-Entwickler, die Server-Kosten (rund 300 € pro Monat) und die Lebenserhaltungskosten für den Geschäftsführer.
- Im positiven Fall hingegen könnten wir die Ausgaben so stark durch neue Personalkosten anheben, dass wir knapp keine Gewinne machen, damit Steuern sparen und unseren Konkurrenzvorsprung noch stärker ausbauen. Wenn sich abzeichnet, dass jeder neue User deutlich mehr Geld einbringt, als er kostet, wird es vermutlich Sinn machen, auf frühe Gewinne zu verzichten, um weitere Geschäftsmodelle früher aufzubauen, den Markt zu erobern und den Abstand zur Konkurrenz zu vergrößern. Mit mehr Ausgaben können auch mehr In-App-Inhalte geschaffen, oder durch (mehr) Sales-Mitarbeiter mehr Partner oder Medien akquiriert werden, was sehr rasch deutlich mehr bringen würde, als es gekostet hat. 
- Daher - sowohl was positive, als auch negative Entwicklungen betrifft - sind die Ausgaben pro Monat nur als grober Richtwert zu verstehen. Eine Umsatzprognose soll nur eine Hilfestellung sein, aber nicht davon abhalten, je nach Bedarf und Entwicklung flexibel auf die Situation eingehen zu können, um die bestmöglichen Ergebnisse zu erzielen. Durch die einfache Anpassbarkeit der Werte in diesem Spritesheet lassen sich sehr einfach verschiedene Szenarien durchspielen, sobald wir mehr konkrete, reale Werte gemessen haben. Gerade auch was Werbeausgaben betrifft (siehe 3.13 und 3.14) hängt die beste Strategie eindeutig davon ab, wie viel uns jeder neue User kostet (3.12) und wieviel Einnahmen wir mit ihm generieren. Ein schneller Start kann von unvergleichlicher Bedeutung für den Erfolg des Unternehmens sein.</t>
        </r>
      </text>
    </comment>
    <comment ref="A33" authorId="0">
      <text>
        <r>
          <rPr>
            <b/>
            <sz val="9"/>
            <color indexed="81"/>
            <rFont val="Tahoma"/>
            <family val="2"/>
          </rPr>
          <t xml:space="preserve">Michael Schöggl:
</t>
        </r>
        <r>
          <rPr>
            <sz val="9"/>
            <color indexed="81"/>
            <rFont val="Tahoma"/>
            <family val="2"/>
          </rPr>
          <t xml:space="preserve">
- Die Anlageinvestitionen (Büroeinrichtung, EDV, etc.) wurden mit 4%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3" authorId="0">
      <text>
        <r>
          <rPr>
            <b/>
            <sz val="9"/>
            <color indexed="81"/>
            <rFont val="Tahoma"/>
            <family val="2"/>
          </rPr>
          <t xml:space="preserve">Michael Schöggl:
</t>
        </r>
        <r>
          <rPr>
            <sz val="9"/>
            <color indexed="81"/>
            <rFont val="Tahoma"/>
            <family val="2"/>
          </rPr>
          <t xml:space="preserve">
</t>
        </r>
        <r>
          <rPr>
            <b/>
            <sz val="9"/>
            <color indexed="81"/>
            <rFont val="Tahoma"/>
            <family val="2"/>
          </rPr>
          <t>Wie hoch sind die monatlichen Mindestkosten für Anlageinvestitionen?</t>
        </r>
        <r>
          <rPr>
            <sz val="9"/>
            <color indexed="81"/>
            <rFont val="Tahoma"/>
            <family val="2"/>
          </rPr>
          <t xml:space="preserve">
</t>
        </r>
        <r>
          <rPr>
            <u/>
            <sz val="9"/>
            <color indexed="81"/>
            <rFont val="Tahoma"/>
            <family val="2"/>
          </rPr>
          <t>Begründung für diesen Wert</t>
        </r>
        <r>
          <rPr>
            <sz val="9"/>
            <color indexed="81"/>
            <rFont val="Tahoma"/>
            <family val="2"/>
          </rPr>
          <t>:
- Hier haben wir keinen Wert eingetragen, bisher haben sich 3-4% der Personalkosten sehr gut bewehrt. Die Kosten pro Mitarbeiter für einen Arbeitsplatz lagen bei günstigen 1500 €, diese Kosten würden zwar steigen, aber gleichzeitig auch die Gehälter, weshalb sich das wieder ausgleicht. 
Längerfristig wird es bei Erfolg natürlich Sinn machen, ein eigenes Büro zu bauen/kaufen, diese Kosten sind hier nicht berücksichtigt, u.a. auch, weil es dabei um Abschreibposten mit einem bleibenden Verkaufswert handeln würde, die am Ende auch nicht (viel) teurer kommen, als Miete. 
Die Kosten in den Spalten rechts sind monatlich, auf ein Jahr gerechnet werden sie realistisch.</t>
        </r>
      </text>
    </comment>
    <comment ref="C33" authorId="0">
      <text>
        <r>
          <rPr>
            <b/>
            <sz val="9"/>
            <color indexed="81"/>
            <rFont val="Tahoma"/>
            <family val="2"/>
          </rPr>
          <t>Michael Schöggl:</t>
        </r>
        <r>
          <rPr>
            <sz val="9"/>
            <color indexed="81"/>
            <rFont val="Tahoma"/>
            <family val="2"/>
          </rPr>
          <t xml:space="preserve">
</t>
        </r>
        <r>
          <rPr>
            <b/>
            <sz val="9"/>
            <color indexed="81"/>
            <rFont val="Tahoma"/>
            <family val="2"/>
          </rPr>
          <t>Wieviel Prozent der Personalkosten sind für Anlageinvestitionen geplant?</t>
        </r>
        <r>
          <rPr>
            <sz val="9"/>
            <color indexed="81"/>
            <rFont val="Tahoma"/>
            <family val="2"/>
          </rPr>
          <t xml:space="preserve">
</t>
        </r>
        <r>
          <rPr>
            <u/>
            <sz val="9"/>
            <color indexed="81"/>
            <rFont val="Tahoma"/>
            <family val="2"/>
          </rPr>
          <t>Begründung für diesen Wert</t>
        </r>
        <r>
          <rPr>
            <sz val="9"/>
            <color indexed="81"/>
            <rFont val="Tahoma"/>
            <family val="2"/>
          </rPr>
          <t>:
- Aufgrund bisherigen Erfahrungswerte gehen wir von rund 4 % der Personalkosten für Anlageinvestitionen aus (ca. 1500 € bisher pro Arbeitsplatz für Möbel, PC, Monitor, etc.).
- Wenn connect erfolgreich genug ist, wird es irgendwann Sinn machen, ein eigenes Büro zu kaufen oder zu bauen. Aber dann müssten die entsprechenden Werte händisch rechts eingetragen werden, sofern sie nicht als Abschreibung innerhalb der x % pro Personalkosten bleiben.</t>
        </r>
      </text>
    </comment>
    <comment ref="A34" authorId="0">
      <text>
        <r>
          <rPr>
            <b/>
            <sz val="9"/>
            <color indexed="81"/>
            <rFont val="Tahoma"/>
            <family val="2"/>
          </rPr>
          <t>Michael Schöggl:</t>
        </r>
        <r>
          <rPr>
            <sz val="9"/>
            <color indexed="81"/>
            <rFont val="Tahoma"/>
            <family val="2"/>
          </rPr>
          <t xml:space="preserve">
Die Personal- und Outsourcingkosten sind absolut flexibel. Wir könnten auch mit einem Team aus 1,5 Mitarbeitern (1 Senior Developer und 1 Teilzeit-Grafiker) unsere App instandhalten und langsam weiterentwickeln (Kosten: ca. 8.000 € monatlich).
Natürlich macht es aber Sinn, bei positiver wirtschaftlicher Entwicklung das Tempo voranzutreiben, vor allem, wenn jeder neue Mitarbeiter mehr Geld einbringt, als er an Kosten verursacht (z.B. Sales-Mitarbeiter, die lukrative B2B-Partner gewinnen). 
Die hier veranschlagten Personal- und Outsourcing-Kosten richten sich im 1. und 2. Quartal 2020 daran, dass sich connect wie geplant bis Mitte 2020 fertigstellen lässt (rund 30.000 € pro Monat). 
Ab Quartal 3 2020 könnten die Personal- und Outsourcingkosten (bei Bedarf) wieder reduziert werden, bei positiver Entwicklung jedoch würden wir sie konstant um x Prozent der Einnahmen anheben, um unseren Wettbewerbsvorteil zu verteidigen und connect rasch zu verbessern.
Mehr Einnahmen bedeuten in unserem Fall zudem mehr User bzw. B2B-Partner und insofern auch höhere Personal-Kosten für z.B. Support oder Sales. Wir wollen zwar möglichst alle Prozesse automatisieren, aber es macht natürlich Sinn, trotzdem mehr Geld in die Entwicklung zu stecken, wenn der wirtschaftliche Erfolg erkennbar wird. Darum wurden in der Prognose die Personalkosten ab 2021 auch direkt von den Einnahmen abhängig gemacht.</t>
        </r>
      </text>
    </comment>
    <comment ref="B34" authorId="0">
      <text>
        <r>
          <rPr>
            <b/>
            <sz val="9"/>
            <color indexed="81"/>
            <rFont val="Tahoma"/>
            <family val="2"/>
          </rPr>
          <t>Michael Schöggl:</t>
        </r>
        <r>
          <rPr>
            <sz val="9"/>
            <color indexed="81"/>
            <rFont val="Tahoma"/>
            <family val="2"/>
          </rPr>
          <t xml:space="preserve">
</t>
        </r>
        <r>
          <rPr>
            <b/>
            <sz val="9"/>
            <color indexed="81"/>
            <rFont val="Tahoma"/>
            <family val="2"/>
          </rPr>
          <t xml:space="preserve">Um wieviel Prozent der Einnahmen steigen die Personalkosten gegenüber dem Vormonat? 
</t>
        </r>
        <r>
          <rPr>
            <u/>
            <sz val="9"/>
            <color indexed="81"/>
            <rFont val="Tahoma"/>
            <family val="2"/>
          </rPr>
          <t>Begründung für diesen Wert</t>
        </r>
        <r>
          <rPr>
            <sz val="9"/>
            <color indexed="81"/>
            <rFont val="Tahoma"/>
            <family val="2"/>
          </rPr>
          <t>:
- connect könnte mit gleichbleibenden 20.000 € pro Monat an Personalkosten (oder sogar weniger) weiterentwickelt werden. Wir sind bezüglich Personalkosten äußerst flexibel. Selbst sehr erfolgreiche Apps wie WhatsApp hatten jahrelang nur eine Handvoll Mitarbeiter.
- Weil wir aber im Gegensatz zu z.B. WhatsApp sehr schnell Einnahmen haben werden, unseren Wettbewerbsvorteil verteidigen müssen und connect kontinuierlich weiterentwickeln wollen, rechnen wir mit 10% aller Einnahmen an zusätzlichen Personalkosten. Dieser Werte kann beliebig angepasst werden, je nachdem, wie rasch wir connect weiterentwickeln wollen. Zur Leistung unserer Angestellten kommen noch die Leistungen unserer Outsourcing-Partner (siehe 3.11) dazu. 
- Die Berechnung der Personalkosten prozentual zu den Einnahmen erlaubt uns finanzielle Entscheidungen ohne großes Risiko. 
- Auch die Werbekosten und die Outsourcing-Kosten werden prozentual gerechnet, ebenso indirekt Anlageinvestitionen, Material und Betriebsausgaben. Die prozentualen Ausgaben sollen dauerhaft unter den Einnahmen bleiben. Bei den Einnahmen erwarten wir (bis auf übliche jahreszeitabhängige Schwankungen) wenig Fluktuationen bzw. Überraschungen, weil sich durch die Masse der User Zufallseffekte weitestgehend "raus-mitteln". Übrig bleiben primär systematische Fehler, wenn wir es z.B. verabsäumen, neue, attraktive In-App-Käufe nachzuliefern und diese Wahrnehmung von den meisten Usern gleichermaßen geteilt wird.</t>
        </r>
      </text>
    </comment>
    <comment ref="C34" authorId="0">
      <text>
        <r>
          <rPr>
            <b/>
            <sz val="9"/>
            <color indexed="81"/>
            <rFont val="Tahoma"/>
            <family val="2"/>
          </rPr>
          <t>Michael Schöggl:</t>
        </r>
        <r>
          <rPr>
            <sz val="9"/>
            <color indexed="81"/>
            <rFont val="Tahoma"/>
            <family val="2"/>
          </rPr>
          <t xml:space="preserve">
</t>
        </r>
        <r>
          <rPr>
            <b/>
            <sz val="9"/>
            <color indexed="81"/>
            <rFont val="Tahoma"/>
            <family val="2"/>
          </rPr>
          <t xml:space="preserve">Um wieviel Prozent pro Quartal werden die prozentualen Personalsausgaben reduziert? </t>
        </r>
        <r>
          <rPr>
            <sz val="9"/>
            <color indexed="81"/>
            <rFont val="Tahoma"/>
            <family val="2"/>
          </rPr>
          <t xml:space="preserve">
</t>
        </r>
        <r>
          <rPr>
            <u/>
            <sz val="9"/>
            <color indexed="81"/>
            <rFont val="Tahoma"/>
            <family val="2"/>
          </rPr>
          <t>Begründung für diesen Wert</t>
        </r>
        <r>
          <rPr>
            <sz val="9"/>
            <color indexed="81"/>
            <rFont val="Tahoma"/>
            <family val="2"/>
          </rPr>
          <t>:
- Wenn sich connect gut entwickelt, ist es unrealistisch, dass unsere Personalausgaben dauerhaft an x % der Einnahmen angepasst werden. Unsere Ausnahmen müssen/sollen nicht direkt proportional zu den Einnahmen mitsteigen, weil die Entwicklungskosten nicht automatisch höher werden, nur, weil mehr User unsere Entwicklung verwenden. 
- Im Gegensatz zu Facebook und Co wollen wir beim Personal eher klein bleiben und a.) möglichst viel automatisieren, b.) Funktionen, die hohe Kosten durch z.B. Support benötigen, gar nicht erst anbieten, sondern diese c.) unseren Partnern überlassen. 
- Neue Inhalte sollen langfristig primär von unseren Partnern kommen, während wir mit Provision daran mitverdienen. Wir kümmern uns vorrangig um die "Schnittstelle", bzw. die Basisfunktionen, die weniger kosteneffizienten Entwicklungen (wie z.B. aufwendige Inhalte, die nur einmal schnell "durchgespielt" werden), überlassen wir unseren Partnern. 
- Je besser unser Netzwerk ist (Fokus liegt darauf!), umso mehr Partner-Inhalte bekommen wir - und wenn wir das gut machen, besser, als die Konkurrenz, dann wachsen unsere Inhalte durch Partner schneller, als wenn wir sie selbst entwickeln würden. 
- Dieser Zugang ist kostensparend, darum ist davon auszugehen, dass die prozentualen Ausgaben von unseren Einnahmen für das Personal im Laufe der Quartale um den Faktor x sinken werden. Der Großteil des Personals wird wohl aus Evangelisten, Sales- und Service-Mitarbeitern bestehen, aber auch hier wollen wir durch ChatBots, KI, etc. so viel wie möglich automatisieren.</t>
        </r>
      </text>
    </comment>
    <comment ref="A35" authorId="0">
      <text>
        <r>
          <rPr>
            <b/>
            <sz val="9"/>
            <color indexed="81"/>
            <rFont val="Tahoma"/>
            <family val="2"/>
          </rPr>
          <t xml:space="preserve">Michael Schöggl:
</t>
        </r>
        <r>
          <rPr>
            <sz val="9"/>
            <color indexed="81"/>
            <rFont val="Tahoma"/>
            <family val="2"/>
          </rPr>
          <t xml:space="preserve">
- Die Kosten für Material und Waren (z.B. Druckerpapier, Instandhaltung, Büroartikel, etc.) wurden mit 1%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5" authorId="0">
      <text>
        <r>
          <rPr>
            <b/>
            <sz val="9"/>
            <color indexed="81"/>
            <rFont val="Tahoma"/>
            <family val="2"/>
          </rPr>
          <t>Michael Schöggl:</t>
        </r>
        <r>
          <rPr>
            <sz val="9"/>
            <color indexed="81"/>
            <rFont val="Tahoma"/>
            <family val="2"/>
          </rPr>
          <t xml:space="preserve">
</t>
        </r>
        <r>
          <rPr>
            <b/>
            <sz val="9"/>
            <color indexed="81"/>
            <rFont val="Tahoma"/>
            <family val="2"/>
          </rPr>
          <t xml:space="preserve">
Wieviel € pro Monat haben wir an Fixkosten für Material und Waren, unabhängig von der Größe des Teams?</t>
        </r>
        <r>
          <rPr>
            <sz val="9"/>
            <color indexed="81"/>
            <rFont val="Tahoma"/>
            <family val="2"/>
          </rPr>
          <t xml:space="preserve">
</t>
        </r>
        <r>
          <rPr>
            <u/>
            <sz val="9"/>
            <color indexed="81"/>
            <rFont val="Tahoma"/>
            <family val="2"/>
          </rPr>
          <t xml:space="preserve">
Begründung für diesen Wert</t>
        </r>
        <r>
          <rPr>
            <sz val="9"/>
            <color indexed="81"/>
            <rFont val="Tahoma"/>
            <family val="2"/>
          </rPr>
          <t>:
- Wir berechnen die Kosten für Material und Waren (z.B. Bürobedarf) nur relativ zum Personal, da dies einfacher ist und es keine (relevanten) Fixkosten gibt. Allgemein sind diese Werte alle viel zu niedrig, alsdass sich eine nähere Betrachtung lohnen würde.</t>
        </r>
      </text>
    </comment>
    <comment ref="C35" authorId="0">
      <text>
        <r>
          <rPr>
            <b/>
            <sz val="9"/>
            <color indexed="81"/>
            <rFont val="Tahoma"/>
            <family val="2"/>
          </rPr>
          <t>Michael Schöggl:</t>
        </r>
        <r>
          <rPr>
            <sz val="9"/>
            <color indexed="81"/>
            <rFont val="Tahoma"/>
            <family val="2"/>
          </rPr>
          <t xml:space="preserve">
</t>
        </r>
        <r>
          <rPr>
            <b/>
            <sz val="9"/>
            <color indexed="81"/>
            <rFont val="Tahoma"/>
            <family val="2"/>
          </rPr>
          <t>Wieviel Prozent der Personalkosten werden pro Monat für Material und Waren benötigt?</t>
        </r>
        <r>
          <rPr>
            <sz val="9"/>
            <color indexed="81"/>
            <rFont val="Tahoma"/>
            <family val="2"/>
          </rPr>
          <t xml:space="preserve">
</t>
        </r>
        <r>
          <rPr>
            <u/>
            <sz val="9"/>
            <color indexed="81"/>
            <rFont val="Tahoma"/>
            <family val="2"/>
          </rPr>
          <t>Begründung für diesen Wert</t>
        </r>
        <r>
          <rPr>
            <sz val="9"/>
            <color indexed="81"/>
            <rFont val="Tahoma"/>
            <family val="2"/>
          </rPr>
          <t>:
Aufgrund bisherigen Erfahrungswerte gehen wir von rund 1 % der Personalkosten für Büromaterial und kleinere Ausgaben (z.B. Papier, Post, Reinigungsmittel, etc.) aus.</t>
        </r>
      </text>
    </comment>
    <comment ref="A36" authorId="0">
      <text>
        <r>
          <rPr>
            <b/>
            <sz val="9"/>
            <color indexed="81"/>
            <rFont val="Tahoma"/>
            <family val="2"/>
          </rPr>
          <t xml:space="preserve">Michael Schöggl:
</t>
        </r>
        <r>
          <rPr>
            <sz val="9"/>
            <color indexed="81"/>
            <rFont val="Tahoma"/>
            <family val="2"/>
          </rPr>
          <t xml:space="preserve">
- Die Betriebsausgaben (Miete, Strom, Internet, etc.) wurden mit 6%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6" authorId="0">
      <text>
        <r>
          <rPr>
            <b/>
            <sz val="9"/>
            <color indexed="81"/>
            <rFont val="Tahoma"/>
            <family val="2"/>
          </rPr>
          <t>Michael Schöggl:</t>
        </r>
        <r>
          <rPr>
            <sz val="9"/>
            <color indexed="81"/>
            <rFont val="Tahoma"/>
            <family val="2"/>
          </rPr>
          <t xml:space="preserve">
</t>
        </r>
        <r>
          <rPr>
            <b/>
            <sz val="9"/>
            <color indexed="81"/>
            <rFont val="Tahoma"/>
            <family val="2"/>
          </rPr>
          <t>Wieviel € pro Monat haben wir an Fixkosten für Betriebsausgaben, unabhängig von der Größe des Teams?</t>
        </r>
        <r>
          <rPr>
            <sz val="9"/>
            <color indexed="81"/>
            <rFont val="Tahoma"/>
            <family val="2"/>
          </rPr>
          <t xml:space="preserve">
</t>
        </r>
        <r>
          <rPr>
            <u/>
            <sz val="9"/>
            <color indexed="81"/>
            <rFont val="Tahoma"/>
            <family val="2"/>
          </rPr>
          <t>Begründung für diesen Wert</t>
        </r>
        <r>
          <rPr>
            <sz val="9"/>
            <color indexed="81"/>
            <rFont val="Tahoma"/>
            <family val="2"/>
          </rPr>
          <t xml:space="preserve">:
- Im Moment haben wir aufgerundet ca. 1500 € an Betriebskosten, die wir nicht sofort reduzieren können, sondern erst nach Kündigung (z.B. für Miete, Strom, Internet, Lizenzen und ähnliches). Diese Fixkosten würden sich auch nihilieren lassen, aber es würde bis zu 3 Monate dauern. </t>
        </r>
      </text>
    </comment>
    <comment ref="C36" authorId="0">
      <text>
        <r>
          <rPr>
            <b/>
            <sz val="9"/>
            <color indexed="81"/>
            <rFont val="Tahoma"/>
            <family val="2"/>
          </rPr>
          <t xml:space="preserve">Michael Schöggl:
Wieviel Prozent der Personalkosten werden pro Monat für Betriebsausgaben benötigt?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Aufgrund bisherigen Erfahrungswerte gehen wir von rund 6% der Personalkosten für Betriebsausgaben wie z.B. Miete, Strom, Internet, Lizenzen etc. aus.
- So wie die meisten anderen Kosten ist dieser Wert tendenziell zu hoch eingeschätzt, um bei der Prognose genügend Platz für unbedachte Kosten offen zu halten. 4% wären im sparsamen Fall ebenso realistisch möglich (z.B. Team aus 10 Leuten mit 50.000 € monatlichen Personalkosten in einem Büro zu 1000 € mit 1000 € an weiteren Betriebskosten für Strom, Internet, etc. = 4%).</t>
        </r>
      </text>
    </comment>
    <comment ref="A37" authorId="0">
      <text>
        <r>
          <rPr>
            <b/>
            <sz val="9"/>
            <color indexed="81"/>
            <rFont val="Tahoma"/>
            <family val="2"/>
          </rPr>
          <t>Michael Schöggl:</t>
        </r>
        <r>
          <rPr>
            <sz val="9"/>
            <color indexed="81"/>
            <rFont val="Tahoma"/>
            <family val="2"/>
          </rPr>
          <t xml:space="preserve">
- Für In-App-Einkäufe über den Google Play Store und ab Mitte 2020 auch über den App Store (Apple) fallen Transaktionsgebühren an.
- Diese Gebühren beinhalten bereits alle Nebenkosten, die durch Bankspesen, Zahlungsverkehr etc. entstehen. 
- Zu Beginn macht es Sinn, Einkäufe über den App-Store abzuwickeln, selbst wenn die Gebühren höher sind, als ein eigener Zugang (z.B. der Kauf von Punkten auf der Homepage, die dann in der App eingelöst werden können). 
- Warum? Weil deutlich mehr Menschen einkaufen werden, wenn der Einkauf ganz einfach und gewohnt über den App-Store abgewickelt wird, wo die Bezahlmethode bereits hinterlegt ist, als über unsere eigene Lösung. Eine höhere Zahlbereitschaft wird wichtiger sein, als das Sparen von Gebühren. 
- Zudem unterstützen die App-Stores eine Vielzahl verschiedener Zahlmöglichkeiten, diese alle mit z.B. Wirecard einzurichten, würde bei einer zunächst kleinen Summe an Transaktionen mehr kosten, als bringen. Die Kosten pro Transaktion nehmen erst ab einer großen Anzahl an monatlichen Einkäufen so stark ab, dass es sich lohnen könnte, ein eigenes Bezahlsystem anzubieten. 
- Langfristig haben wir aber natürlich genau das vor, weil wir uns sehr viele Kosten sparen könnten, wenn unsere Kosten pro Transaktion von 30% auf z.B. 15% fallen. Mehr dazu in den Kommentaren rechts.</t>
        </r>
      </text>
    </comment>
    <comment ref="B37" authorId="0">
      <text>
        <r>
          <rPr>
            <b/>
            <sz val="9"/>
            <color indexed="81"/>
            <rFont val="Tahoma"/>
            <family val="2"/>
          </rPr>
          <t xml:space="preserve">Michael Schöggl:
Wieviel Prozent sämtlicher Einnahmen über den App Store fallen an Gebühren an?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Transaktionsgebühren für In-App-Verkäufe im Google Play Store (30%). Die Gebühren für abgeschlossene Abos betragen 15%. Andere Stores wie z.B. Apple, Steam oder PlayStation sind günstiger, aber wir rechnen hier sicherheitshalber mit den höchsten Werten (abzüglich einer optional einstellbaren Verbesserung pro Quartal in der Spalte rechts). </t>
        </r>
      </text>
    </comment>
    <comment ref="C37" authorId="0">
      <text>
        <r>
          <rPr>
            <b/>
            <sz val="9"/>
            <color indexed="81"/>
            <rFont val="Tahoma"/>
            <family val="2"/>
          </rPr>
          <t xml:space="preserve">Michael Schöggl:
</t>
        </r>
        <r>
          <rPr>
            <b/>
            <sz val="9"/>
            <color indexed="81"/>
            <rFont val="Tahoma"/>
            <family val="2"/>
          </rPr>
          <t xml:space="preserve">
Um wieviel Prozent pro Quartal lassen sich die Transaktionsgebühren senken?</t>
        </r>
        <r>
          <rPr>
            <sz val="9"/>
            <color indexed="81"/>
            <rFont val="Tahoma"/>
            <family val="2"/>
          </rPr>
          <t xml:space="preserve">
</t>
        </r>
        <r>
          <rPr>
            <u/>
            <sz val="9"/>
            <color indexed="81"/>
            <rFont val="Tahoma"/>
            <family val="2"/>
          </rPr>
          <t>Begründung für diesen Wert</t>
        </r>
        <r>
          <rPr>
            <sz val="9"/>
            <color indexed="81"/>
            <rFont val="Tahoma"/>
            <family val="2"/>
          </rPr>
          <t>:
Wir gehen davon aus, die Transaktionsgebühren im Laufe der nächsten 3 Jahre von maximal 30% (= alle Einkäufe werden über den Play Store getätigt) auf rund 16,5% senken zu können, da ...
1.) ... wir auch alternative Bezahlungsmöglichkeiten anbieten wollen, z.B. über den Erwerb von Punkten auf unserer Homepage, die uns deutlich günstiger kommen.
2.) ... der Play Store zu den teuersten Stores gehört, connect aber nicht nur für Android erscheint, sondern auch PlayStation, Steam etc.
3.) ... die Store-Preise allgemein etwas fallen werden.
4.) ... wir uns hier gewaltige Kosten sparen können und daher sehr motiviert sein werden, Alternativen anzubieten.</t>
        </r>
      </text>
    </comment>
    <comment ref="A38" authorId="0">
      <text>
        <r>
          <rPr>
            <b/>
            <sz val="9"/>
            <color indexed="81"/>
            <rFont val="Tahoma"/>
            <family val="2"/>
          </rPr>
          <t>Michael Schöggl:</t>
        </r>
        <r>
          <rPr>
            <sz val="9"/>
            <color indexed="81"/>
            <rFont val="Tahoma"/>
            <family val="2"/>
          </rPr>
          <t xml:space="preserve">
Mit Ende 2019 betragen die Zinsen pro Monat ca. 3000 Euro, beim Beginn der Rückzahlung ist unsere Hausbank flexibel, wir rechnen aber ab Ende 2020 mit einer Laufzeit von 10 Jahren.
Auch wenn bei guter wirtschaftlicher Entwicklung der gesamte Kredit deutlich früher zurückgezahlt werden kann und wird, wird sicherheitshalber in dieser Prognose davon ausgegangen, dass die Rückzahlung im Verlauf von 10 Jahren erfolgt.</t>
        </r>
      </text>
    </comment>
    <comment ref="B38" authorId="0">
      <text>
        <r>
          <rPr>
            <b/>
            <sz val="9"/>
            <color indexed="81"/>
            <rFont val="Tahoma"/>
            <family val="2"/>
          </rPr>
          <t>Michael Schöggl:</t>
        </r>
        <r>
          <rPr>
            <sz val="9"/>
            <color indexed="81"/>
            <rFont val="Tahoma"/>
            <family val="2"/>
          </rPr>
          <t xml:space="preserve">
</t>
        </r>
        <r>
          <rPr>
            <b/>
            <sz val="9"/>
            <color indexed="81"/>
            <rFont val="Tahoma"/>
            <family val="2"/>
          </rPr>
          <t>Wieviel Zinsen bezahlen wir für laufende Kredite pro Monat?</t>
        </r>
        <r>
          <rPr>
            <sz val="9"/>
            <color indexed="81"/>
            <rFont val="Tahoma"/>
            <family val="2"/>
          </rPr>
          <t xml:space="preserve">
</t>
        </r>
        <r>
          <rPr>
            <u/>
            <sz val="9"/>
            <color indexed="81"/>
            <rFont val="Tahoma"/>
            <family val="2"/>
          </rPr>
          <t>Begründung für diesen Wert</t>
        </r>
        <r>
          <rPr>
            <sz val="9"/>
            <color indexed="81"/>
            <rFont val="Tahoma"/>
            <family val="2"/>
          </rPr>
          <t>:
- Erfahrungswerte: Die aktuellen Zinsen pro Monat betragen knapp 3000 €.</t>
        </r>
      </text>
    </comment>
    <comment ref="C38" authorId="0">
      <text>
        <r>
          <rPr>
            <b/>
            <sz val="9"/>
            <color indexed="81"/>
            <rFont val="Tahoma"/>
            <family val="2"/>
          </rPr>
          <t xml:space="preserve">Michael Schöggl:
Wieviel € pro Monat müssen für laufende Kredite ab 2021 zurückbezahlt werden?
</t>
        </r>
        <r>
          <rPr>
            <u/>
            <sz val="9"/>
            <color indexed="81"/>
            <rFont val="Tahoma"/>
            <family val="2"/>
          </rPr>
          <t>Begründung für diesen Wert</t>
        </r>
        <r>
          <rPr>
            <sz val="9"/>
            <color indexed="81"/>
            <rFont val="Tahoma"/>
            <family val="2"/>
          </rPr>
          <t>:
Über eine Laufzeit von 10 Jahren sollen ab 2021 die offenen Kredite (590.000 €) rückgezahlt werden.
Die erhaltenen Investitionen durch partiarische Darlehen werden über eine Gewinnbeteiligung ausgeschüttet, bis sie abbezahlt sind.</t>
        </r>
      </text>
    </comment>
    <comment ref="A39" authorId="0">
      <text>
        <r>
          <rPr>
            <b/>
            <sz val="9"/>
            <color indexed="81"/>
            <rFont val="Tahoma"/>
            <family val="2"/>
          </rPr>
          <t>Michael Schöggl:</t>
        </r>
        <r>
          <rPr>
            <sz val="9"/>
            <color indexed="81"/>
            <rFont val="Tahoma"/>
            <family val="2"/>
          </rPr>
          <t xml:space="preserve">
Alle Einnahmen wurden brutto mit Umsatzsteuer berechnet. D.h. die Einnahmenprognose ist um 20% vorsichtiger, als auf den ersten Blick angenommen, wenn Netto- statt Brutto-Beträge erwartet wurden.
Zwar besteht später die Möglichkeit, Steuervorteile zu nutzen (und der Steuersatz ist auch nicht in jedem Land so hoch, wie in Österreich), sicherheitshalber haben wir aber trotzdem mit 20% Umsatzsteuer auf alle Einnahmen gerechnet.</t>
        </r>
      </text>
    </comment>
    <comment ref="B39" authorId="0">
      <text>
        <r>
          <rPr>
            <b/>
            <sz val="9"/>
            <color indexed="81"/>
            <rFont val="Tahoma"/>
            <family val="2"/>
          </rPr>
          <t xml:space="preserve">Michael Schöggl:
Wieviel Prozent an Umsatzsteuer müssen für Einnahmen bezahlt werden?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Umsatzsteuer in Österreich, dieser Wert kann langfristig durch entsprechende Steuersparmaßnahmen deutlich reduziert werden.
- Die Umsatzsteuer in anderen Ländern ist in der Regel (deutlich) niedriger, aber unsere Prognose soll mit vorsichtigen Werten arbeiten.</t>
        </r>
      </text>
    </comment>
    <comment ref="C39"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Um wieviel Prozent pro Quartal sinkt die Umsatzsteuer durch steuersparende Maßnahmen?
</t>
        </r>
        <r>
          <rPr>
            <u/>
            <sz val="9"/>
            <color indexed="81"/>
            <rFont val="Tahoma"/>
            <family val="2"/>
          </rPr>
          <t>Begründung für diesen Wert</t>
        </r>
        <r>
          <rPr>
            <sz val="9"/>
            <color indexed="81"/>
            <rFont val="Tahoma"/>
            <family val="2"/>
          </rPr>
          <t xml:space="preserve">:
Wir nehmen hier 0 an, weil wir brave Steuerzahler sind, aber realistisch ist es nicht, dass wir dauerhaft 20% Umsatzsteuer zahlen würden, daher bei Bedarf hier bitte einen Minuswert eintragen - z.B. -1% (in 9 Schritten reduziert sich dann die Umsatzsteuer kontinuierlich von 20% auf 11%. 
</t>
        </r>
      </text>
    </comment>
    <comment ref="A40" authorId="0">
      <text>
        <r>
          <rPr>
            <b/>
            <sz val="9"/>
            <color indexed="81"/>
            <rFont val="Tahoma"/>
            <family val="2"/>
          </rPr>
          <t>Michael Schöggl:</t>
        </r>
        <r>
          <rPr>
            <sz val="9"/>
            <color indexed="81"/>
            <rFont val="Tahoma"/>
            <family val="2"/>
          </rPr>
          <t xml:space="preserve">
Der Gewinn wird so lange wie möglich reinvestiert, um keine Körperschaftsteuer (bzw. Einkommensteuer) zahlen zu müssen. 
Eigentlich rechnen bis Ende 2021 damit, die Einnahmen vollständig reinvestieren zu können und keine Gewinne zu machen. Bei der Prognose wurden aber einfach alle Gewinne mit 25% Körperschaftsteuer belegt.
Die Mindestkörperschaftssteuer beträgt bei einer GmbH rund 1750 € pro Jahr, kann aber später gegengerechnet werden, weshalb wir diesen Wert ignorieren (das ist kein Liquiditätsplan).
</t>
        </r>
      </text>
    </comment>
    <comment ref="B40" authorId="0">
      <text>
        <r>
          <rPr>
            <b/>
            <sz val="9"/>
            <color indexed="81"/>
            <rFont val="Tahoma"/>
            <family val="2"/>
          </rPr>
          <t>Michael Schöggl:
Wieviel Prozent des Gewinns müssen an Körperschaftsteuer abgezogen werden?</t>
        </r>
        <r>
          <rPr>
            <sz val="9"/>
            <color indexed="81"/>
            <rFont val="Tahoma"/>
            <family val="2"/>
          </rPr>
          <t xml:space="preserve">
</t>
        </r>
        <r>
          <rPr>
            <u/>
            <sz val="9"/>
            <color indexed="81"/>
            <rFont val="Tahoma"/>
            <family val="2"/>
          </rPr>
          <t>Begründung für diesen Wert</t>
        </r>
        <r>
          <rPr>
            <sz val="9"/>
            <color indexed="81"/>
            <rFont val="Tahoma"/>
            <family val="2"/>
          </rPr>
          <t>:
- Körperschaftsteuer in Österreich, dieser Wert kann langfristig durch entsprechende Steuersparmaßnahmen natürlich reduziert werden, zudem gibt es Beschlüsse der neuen Bundesregierung, die Körperschaftsteuer deutlich zu senken.
- Ebenso wie die Umsatzsteuer ist die Körperschaftsteuer in anderen Ländern auch niedriger, aber wir wollen vorsichtige Schätzwerte.</t>
        </r>
      </text>
    </comment>
    <comment ref="C40"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sinkt die Körperschaftsteuer durch steuersparende Maßnahmen?</t>
        </r>
        <r>
          <rPr>
            <sz val="9"/>
            <color indexed="81"/>
            <rFont val="Tahoma"/>
            <family val="2"/>
          </rPr>
          <t xml:space="preserve">
Wir nehmen hier 0 an, weil wir brave Steuerzahler sind, aber realistisch ist es nicht, dass wir dauerhaft 35 % Körperschaftsteuer zahlen würden (u.a. weil Gewinne reinvestiert werden, notfalls in andere Unternehmen oder Zukäufe), daher bei Bedarf hier bitte einen Minuswert eintragen - z.B. -1% (in 9 Schritten reduziert sich dann die Umsatzsteuer kontinuierlich von 20% auf 11%. </t>
        </r>
      </text>
    </comment>
    <comment ref="A41" authorId="0">
      <text>
        <r>
          <rPr>
            <b/>
            <sz val="9"/>
            <color indexed="81"/>
            <rFont val="Tahoma"/>
            <family val="2"/>
          </rPr>
          <t>Michael Schöggl:</t>
        </r>
        <r>
          <rPr>
            <sz val="9"/>
            <color indexed="81"/>
            <rFont val="Tahoma"/>
            <family val="2"/>
          </rPr>
          <t xml:space="preserve">
Meine geplanten Privatentnahmen (Abzug von der bereits geleisteten finanziellen Einbringung). Auch möglich wäre eine Anstellung zu eben diesen Kosten.</t>
        </r>
      </text>
    </comment>
    <comment ref="B41" authorId="0">
      <text>
        <r>
          <rPr>
            <b/>
            <sz val="9"/>
            <color indexed="81"/>
            <rFont val="Tahoma"/>
            <family val="2"/>
          </rPr>
          <t>Michael Schöggl:</t>
        </r>
        <r>
          <rPr>
            <sz val="9"/>
            <color indexed="81"/>
            <rFont val="Tahoma"/>
            <family val="2"/>
          </rPr>
          <t xml:space="preserve">
</t>
        </r>
        <r>
          <rPr>
            <b/>
            <sz val="9"/>
            <color indexed="81"/>
            <rFont val="Tahoma"/>
            <family val="2"/>
          </rPr>
          <t>Wieviel € pro Monat fallen an Kosten für das Geschäftsführergehalt oder die Privatentnahmen durch den Geschäftsführer an?</t>
        </r>
        <r>
          <rPr>
            <sz val="9"/>
            <color indexed="81"/>
            <rFont val="Tahoma"/>
            <family val="2"/>
          </rPr>
          <t xml:space="preserve">
</t>
        </r>
        <r>
          <rPr>
            <u/>
            <sz val="9"/>
            <color indexed="81"/>
            <rFont val="Tahoma"/>
            <family val="2"/>
          </rPr>
          <t xml:space="preserve">
Begründung für diesen Wert</t>
        </r>
        <r>
          <rPr>
            <sz val="9"/>
            <color indexed="81"/>
            <rFont val="Tahoma"/>
            <family val="2"/>
          </rPr>
          <t>:
- In der Praxis kann dieser Wert deutlich niedriger sein, da die Lebenserhaltungskosten nicht unbedingt 2.500 € pro Monat ausmachen, aber für eine vorsichtige Schätzung ist das ein guter Wert.</t>
        </r>
      </text>
    </comment>
    <comment ref="C41"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 pro Quartal steigt das Geschäftsführergehalt bzw. die Privatentnahme ab Erreichen der Gewinnzone?</t>
        </r>
        <r>
          <rPr>
            <sz val="9"/>
            <color indexed="81"/>
            <rFont val="Tahoma"/>
            <family val="2"/>
          </rPr>
          <t xml:space="preserve">
</t>
        </r>
        <r>
          <rPr>
            <u/>
            <sz val="9"/>
            <color indexed="81"/>
            <rFont val="Tahoma"/>
            <family val="2"/>
          </rPr>
          <t>Begründung für diesen Wert</t>
        </r>
        <r>
          <rPr>
            <sz val="9"/>
            <color indexed="81"/>
            <rFont val="Tahoma"/>
            <family val="2"/>
          </rPr>
          <t>:
- Es wäre unglaubwürdig, hier unabhängig vom Erfolg des Unternehmens von gleichbleibenden Kosten auszugehen. 
- Zudem wäre eine repräsentative Vertretung nach Außen hin mit 2500 € eingeschränkter möglich, als mit eine angebrachten Gehalt.</t>
        </r>
      </text>
    </comment>
    <comment ref="A42" authorId="0">
      <text>
        <r>
          <rPr>
            <b/>
            <sz val="9"/>
            <color indexed="81"/>
            <rFont val="Tahoma"/>
            <family val="2"/>
          </rPr>
          <t xml:space="preserve">Michael Schöggl:
</t>
        </r>
        <r>
          <rPr>
            <sz val="9"/>
            <color indexed="81"/>
            <rFont val="Tahoma"/>
            <family val="2"/>
          </rPr>
          <t xml:space="preserve">
Nach unseren Basis-Kosten für Lizenzen etc. wurden ab 2021 weiter 0,01 Cent pro User veranschlagt, um u.a. die steigenden Serverkosten abzubilden. Jeder Server, der pro Monat rund 300 Euro angemietet kostet, kann problemlos mehr als 30.000 User beherrbergen, aber es gibt noch weitere kleinere Kosten wie z.B. den erstmaligen SMS-Versand für die Registrierung, etc.
Kosten in Höhe von 1 Cent pro User und Monat sind insgesamt durchaus realistisch.</t>
        </r>
      </text>
    </comment>
    <comment ref="B42" authorId="0">
      <text>
        <r>
          <rPr>
            <b/>
            <sz val="9"/>
            <color indexed="81"/>
            <rFont val="Tahoma"/>
            <family val="2"/>
          </rPr>
          <t>Michael Schöggl:</t>
        </r>
        <r>
          <rPr>
            <sz val="9"/>
            <color indexed="81"/>
            <rFont val="Tahoma"/>
            <family val="2"/>
          </rPr>
          <t xml:space="preserve">
</t>
        </r>
        <r>
          <rPr>
            <b/>
            <sz val="9"/>
            <color indexed="81"/>
            <rFont val="Tahoma"/>
            <family val="2"/>
          </rPr>
          <t>Mit welchen Fixkosten müssen wir monatlich für Server, Lizenzen und andere userabhängige Kosten rechnen?</t>
        </r>
        <r>
          <rPr>
            <sz val="9"/>
            <color indexed="81"/>
            <rFont val="Tahoma"/>
            <family val="2"/>
          </rPr>
          <t xml:space="preserve">
</t>
        </r>
        <r>
          <rPr>
            <u/>
            <sz val="9"/>
            <color indexed="81"/>
            <rFont val="Tahoma"/>
            <family val="2"/>
          </rPr>
          <t>Begründung für diesen Wert</t>
        </r>
        <r>
          <rPr>
            <sz val="9"/>
            <color indexed="81"/>
            <rFont val="Tahoma"/>
            <family val="2"/>
          </rPr>
          <t xml:space="preserve">:
- Es handelt sich hier um einen Erfahrungswert aufgrund bisherigen Kosten - auch wenn bei 2000 € bereits alle Lizenzenkosten (für Shutterstock, Unity, Cision, Mailworx, etc.) enthalten sind.
- Diese nicht-userabgängigen Lizenzkosten sind nur einmalig zu bezahlen und werden später in den Betriebsausgaben veranschlagt. 
- Dieser Wert soll sich auf (noch nicht vorhandene) userabhängige Lizenzrechte, Service-Kosten (z.B. der SMS-Versand für den Zugangscode bei der Registrierung neuer User) und die bereits bekannten Serverkosten (ca. 300 € pro Monat für einen Server, der locker 300.000 User verwalten kann) beziehen. </t>
        </r>
      </text>
    </comment>
    <comment ref="C42" authorId="0">
      <text>
        <r>
          <rPr>
            <b/>
            <sz val="9"/>
            <color indexed="81"/>
            <rFont val="Tahoma"/>
            <family val="2"/>
          </rPr>
          <t>Michael Schöggl:</t>
        </r>
        <r>
          <rPr>
            <sz val="9"/>
            <color indexed="81"/>
            <rFont val="Tahoma"/>
            <family val="2"/>
          </rPr>
          <t xml:space="preserve">
</t>
        </r>
        <r>
          <rPr>
            <b/>
            <sz val="9"/>
            <color indexed="81"/>
            <rFont val="Tahoma"/>
            <family val="2"/>
          </rPr>
          <t>Wieviel € wird uns jeder User pro Monat für Service, Server und Lizenzrechte kosten?</t>
        </r>
        <r>
          <rPr>
            <sz val="9"/>
            <color indexed="81"/>
            <rFont val="Tahoma"/>
            <family val="2"/>
          </rPr>
          <t xml:space="preserve">
</t>
        </r>
        <r>
          <rPr>
            <u/>
            <sz val="9"/>
            <color indexed="81"/>
            <rFont val="Tahoma"/>
            <family val="2"/>
          </rPr>
          <t>Begründung für diesen Wert</t>
        </r>
        <r>
          <rPr>
            <sz val="9"/>
            <color indexed="81"/>
            <rFont val="Tahoma"/>
            <family val="2"/>
          </rPr>
          <t>:
- Nach unseren Basis-Kosten für Lizenzen etc. wurden ab 2021 weiter 0,01 Cent pro User veranschlagt, um u.a. die steigenden Serverkosten abzubilden. Jeder Server, der pro Monat rund 300 Euro angemietet kostet, kann problemlos mehr als 30.000 User beherrbergen, aber es gibt noch weitere kleinere Kosten wie z.B. den erstmaligen SMS-Versand für die Registrierung, etc.
- Kosten in Höhe von 1 Cent pro User und Monat sind insgesamt realistisch und pessimistisch geschätzt.
- Mittelfristig werden wir Server nicht mehr mieten, sondern selbst anschaffen, aber die Kosten werde als Abschreibposten ungefähr dieselben bleiben (eher sinken als steigen).</t>
        </r>
      </text>
    </comment>
    <comment ref="A43" authorId="0">
      <text>
        <r>
          <rPr>
            <b/>
            <sz val="9"/>
            <color indexed="81"/>
            <rFont val="Tahoma"/>
            <family val="2"/>
          </rPr>
          <t>Michael Schöggl:</t>
        </r>
        <r>
          <rPr>
            <sz val="9"/>
            <color indexed="81"/>
            <rFont val="Tahoma"/>
            <family val="2"/>
          </rPr>
          <t xml:space="preserve">
- Hier werden sämtliche Ausgaben für externe Dienstleister und sonstige Ausgaben (die nicht in die anderen Kategorien passen) subsummiert. 
- U.a. sind das Kosten für outgesourcte Softwareentwicklung, Rechtsberatung, IP-Beratung, allgemeine Unternehmsberatung (z.B. beim Pricing), Marketing-Dienstleistungen, Animation von 3D-Modellen (z.B. virtuelle Haustiere), Homepage-Entwicklung (eigentlich abgeschlossen - nichts, was wir selbst machen), etc.
- Kosten, die im Zuge eines Abos entstehen (z.B. für Shutterstock, Cision, Mailworx, Server, Lizenzen, etc.) werden hier nicht gelistet, sondern in der Kategorie 3.4 Betriebsausgaben, wenn sie unabhängig von der Anzahl unserer User sind, bzw. 3.10, wenn sie mit der Useranzahl mitskalieren. </t>
        </r>
      </text>
    </comment>
    <comment ref="B43" authorId="0">
      <text>
        <r>
          <rPr>
            <b/>
            <sz val="9"/>
            <color indexed="81"/>
            <rFont val="Tahoma"/>
            <family val="2"/>
          </rPr>
          <t>Michael Schöggl:</t>
        </r>
        <r>
          <rPr>
            <sz val="9"/>
            <color indexed="81"/>
            <rFont val="Tahoma"/>
            <family val="2"/>
          </rPr>
          <t xml:space="preserve">
</t>
        </r>
        <r>
          <rPr>
            <b/>
            <sz val="9"/>
            <color indexed="81"/>
            <rFont val="Tahoma"/>
            <family val="2"/>
          </rPr>
          <t xml:space="preserve">
Wieviel Prozent der gesamten Einnahmen werden wir für Outsourcing, externe Dienstleister und sonstige Ausgaben benötigen?</t>
        </r>
        <r>
          <rPr>
            <sz val="9"/>
            <color indexed="81"/>
            <rFont val="Tahoma"/>
            <family val="2"/>
          </rPr>
          <t xml:space="preserve">
</t>
        </r>
        <r>
          <rPr>
            <u/>
            <sz val="9"/>
            <color indexed="81"/>
            <rFont val="Tahoma"/>
            <family val="2"/>
          </rPr>
          <t>Begründung für diesen Wert</t>
        </r>
        <r>
          <rPr>
            <sz val="9"/>
            <color indexed="81"/>
            <rFont val="Tahoma"/>
            <family val="2"/>
          </rPr>
          <t>:
- Gerade zu Beginn werden wir keine Rechtsabteilung oder HR-Abteilung haben, sondern externe Dienstleister für derlei Aufgaben beschäftigen. Auch Marketing-Dienstleistungen sind hier abgebildet.
- Ein Teil unserer Entwicklung wird gerade zu Beginn auch durch Outsourcing abgedeckt, da dieser Weg es ermöglicht, international Experten relativ rasch einzusetzen. Ein eigenes Team aufzubauen, das alle Aufgaben übernimmt, kann einige Monate dauern. 
- Zu Beginn entsprechen 5% der Einnahmen zuzüglich 10.000 € an monatlichen Fixkosten einem Erfahrungswert, der genug Spielraum für Outsourcing lässt.
- Die Kosten pro Quartal steigen kontinuierlich um diese 5% der Einnahmen an, es wird der Wert des vorherigen Quartals entsprechend erhöht. Diese "Mindestkosten" bleiben erhalten.</t>
        </r>
      </text>
    </comment>
    <comment ref="C43"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fallen die prozentualen, einnahmeabhängigen Kosten für externe Dienstleistungen?</t>
        </r>
        <r>
          <rPr>
            <sz val="9"/>
            <color indexed="81"/>
            <rFont val="Tahoma"/>
            <family val="2"/>
          </rPr>
          <t xml:space="preserve">
</t>
        </r>
        <r>
          <rPr>
            <u/>
            <sz val="9"/>
            <color indexed="81"/>
            <rFont val="Tahoma"/>
            <family val="2"/>
          </rPr>
          <t>Begründung für diesen Wert</t>
        </r>
        <r>
          <rPr>
            <sz val="9"/>
            <color indexed="81"/>
            <rFont val="Tahoma"/>
            <family val="2"/>
          </rPr>
          <t>:
- Langfristig werden die Kosten für externe Dienstleister sinken, weil wir eigene Mitarbeiter für derlei Aufgaben beschäftigen werden. Darum wird der Prozentsatz von den Einnahmen im Laufe der Quartale deutlich fallen.
- Dazu kommt, dass unsere Kosten nicht im selben Ausmaß wie unsere Einnahmen ansteigen müssen, weil unsere Einnahmen primär aus neuen Usern resultieren und mehr User nicht zwangsläufig höhere Entwicklungskosten bedeuten müssen.</t>
        </r>
      </text>
    </comment>
    <comment ref="A44" authorId="1">
      <text>
        <r>
          <rPr>
            <b/>
            <sz val="9"/>
            <color indexed="81"/>
            <rFont val="Tahoma"/>
            <family val="2"/>
          </rPr>
          <t>e.com:</t>
        </r>
        <r>
          <rPr>
            <sz val="9"/>
            <color indexed="81"/>
            <rFont val="Tahoma"/>
            <family val="2"/>
          </rPr>
          <t xml:space="preserve">
</t>
        </r>
        <r>
          <rPr>
            <u/>
            <sz val="9"/>
            <color indexed="81"/>
            <rFont val="Tahoma"/>
            <family val="2"/>
          </rPr>
          <t>Informationen zu bezahlter Werbung:</t>
        </r>
        <r>
          <rPr>
            <sz val="9"/>
            <color indexed="81"/>
            <rFont val="Tahoma"/>
            <family val="2"/>
          </rPr>
          <t xml:space="preserve">
- erste Tests zeigen: rund 3 € pro neuem User (= Anmeldung, nicht nur Installation)
- viele Werbevideos sind vorbereitet und es ist einfach, neue zu erstellen: http://bit.ly/2zlcvAl
- wir werden bis Mitte 2020 verschiedenste Marketing-Zugänge austesten und jene mit dem besten Kosten-Nutzen-Verhältnis optimieren und forcieren
- die Kosten pro neuem User sind EXTREM wichtig, da uns jeder User pro Jahr mehr Geld bringt, als kostet und es sich daher lohnt, so viel Geld wie möglich in Werbung zu investieren
- wegen der geringen Fixkosten der Entwicklung (neue Inhalte stammen meist von Partnern!) wird connect alle Werbeausgaben multiplikativ wieder einspielen
- daher wichtigstes Ziel: Werbekosten pro neuem User minimieren und möglichst viel Geld in Werbung zu investieren (wir rechnen mit 30 % der Einnahmen)
- Kreislauf führt zu exponentiellem Wachstum: je mehr User, umso mehr Einnahmen und dadurch immer mehr Werbung (prozentualer Anteil der Einnahmen) - was wieder zu mehr Usern führt... wir gewinnen sehr schnell an Tempo
- bis die Kosten für neue User die Einnahmen übersteigen (weil die primäre Zielgruppe zunehmend ausgeschöpft ist) werden wir uns massiv auf bezahlte Werbung konzentrieren, danach (ca. ab 100+ Mio User) sind unsere multiplikativen Tricks (1.3 bis 1.9) mehr als ausreichend
</t>
        </r>
      </text>
    </comment>
    <comment ref="B44"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Wie viel kostet uns jeder neue User mit bezahlter Werbung? </t>
        </r>
        <r>
          <rPr>
            <sz val="9"/>
            <color indexed="81"/>
            <rFont val="Tahoma"/>
            <family val="2"/>
          </rPr>
          <t xml:space="preserve">
</t>
        </r>
        <r>
          <rPr>
            <u/>
            <sz val="9"/>
            <color indexed="81"/>
            <rFont val="Tahoma"/>
            <family val="2"/>
          </rPr>
          <t>Begründung für diesen Wert:</t>
        </r>
        <r>
          <rPr>
            <sz val="9"/>
            <color indexed="81"/>
            <rFont val="Tahoma"/>
            <family val="2"/>
          </rPr>
          <t xml:space="preserve">
- erste Tests zeigen ca. 3 € Kosten pro neuem User
- entspricht auch den durchschnittlichen Kosten laut mehreren Internetquellen (unten)
- durchschnittliche Kosten pro Installation sind laut Statista 0,44 Dollar bzw. 1,91 $ in den USA und 0,99 $ in Europa laut mobyaffiliates.com (siehe Quellen)
- bis Mitte 2020 testen wir mit geringem Kapital verschiedene Werbekanäle, der Fokus liegt auf Informationsgewinn statt neuen Usern</t>
        </r>
      </text>
    </comment>
    <comment ref="C44"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Absolute Verringerung der Akquirierungskosten pro Quartal in Euro.
</t>
        </r>
        <r>
          <rPr>
            <u/>
            <sz val="9"/>
            <color indexed="81"/>
            <rFont val="Tahoma"/>
            <family val="2"/>
          </rPr>
          <t xml:space="preserve">Begründung für diesen Wert:
</t>
        </r>
        <r>
          <rPr>
            <sz val="9"/>
            <color indexed="81"/>
            <rFont val="Tahoma"/>
            <family val="2"/>
          </rPr>
          <t>- Werbematerial wird immer professioneller.
- Erfahrungen helfen, den Werbezugang zu optimieren. 
- Das Produkt verbessert sich, der Nutzen für den Kunden steigt, wodurch auch mehr auf die Werbung anspringen. 
- Die Werbekosten allgemein sinken eher, als dass sie steigen würden.</t>
        </r>
      </text>
    </comment>
    <comment ref="J44" authorId="0">
      <text>
        <r>
          <rPr>
            <b/>
            <sz val="9"/>
            <color indexed="81"/>
            <rFont val="Tahoma"/>
            <family val="2"/>
          </rPr>
          <t xml:space="preserve">Michael Schöggl:
</t>
        </r>
        <r>
          <rPr>
            <sz val="9"/>
            <color indexed="81"/>
            <rFont val="Tahoma"/>
            <family val="2"/>
          </rPr>
          <t xml:space="preserve">
Durchschnittswert für dieses Jahr.</t>
        </r>
      </text>
    </comment>
    <comment ref="A45" authorId="0">
      <text>
        <r>
          <rPr>
            <b/>
            <sz val="9"/>
            <color indexed="81"/>
            <rFont val="Tahoma"/>
            <family val="2"/>
          </rPr>
          <t xml:space="preserve">Michael Schöggl:
</t>
        </r>
        <r>
          <rPr>
            <sz val="9"/>
            <color indexed="81"/>
            <rFont val="Tahoma"/>
            <family val="2"/>
          </rPr>
          <t xml:space="preserve">
Bis Mitte 2020 machen wir nur erste, günstige Tests mit bezahlter Werbung, um jene Kanäle zu finden, die das besten Kosten-Nutzen-Verhältnis haben (u.a. werden wir AdColony und Vungle testen, aber auch viele komplett andere Zugänge). 
Wenn wir bis Mitte 2020 den für uns besten Zugang gefunden haben, werden wir ihn optimieren und perfektionieren, um möglichst nicht mehr als 3 € pro neuem User an Kosten zu haben. Das sind realistische Erfahrungswerte für kostenlose Apps und Spiele, die sich sicher erreichen lassen, da connect ein breiteres, weniger spezifisches Puplikum anspricht und auch mehr weniger stark umkämpfte Werbezugänge erlaubt, als klassische App-Spiele. Wenn wir dieses Ziel erreichen, werden wir je nach finanzieller Aussicht zwischen 0 und 5.000 € pro Monat in Werbung stecken, bis wir erste Einnahmen haben. Die Prognose rechnet aktuell mit mindestens 5.000 € an Werbekosten pro Monat ab Mitte 2018.
Sobald wir Einnahmen haben, wollen wir rund 30% der Einnahmen in Werbung reinvestieren - jedoch mit einer Obergrenze, die nun willkürlich mit 1.000.000 festgelegt wurde</t>
        </r>
      </text>
    </comment>
    <comment ref="B45" authorId="0">
      <text>
        <r>
          <rPr>
            <b/>
            <sz val="9"/>
            <color indexed="81"/>
            <rFont val="Tahoma"/>
            <family val="2"/>
          </rPr>
          <t>Michael Schöggl:</t>
        </r>
        <r>
          <rPr>
            <sz val="9"/>
            <color indexed="81"/>
            <rFont val="Tahoma"/>
            <family val="2"/>
          </rPr>
          <t xml:space="preserve">
</t>
        </r>
        <r>
          <rPr>
            <b/>
            <sz val="9"/>
            <color indexed="81"/>
            <rFont val="Tahoma"/>
            <family val="2"/>
          </rPr>
          <t xml:space="preserve">Prozentsatz der Einnahmen, die wir pro Monat in bezahlte Werbung stecken. </t>
        </r>
        <r>
          <rPr>
            <sz val="9"/>
            <color indexed="81"/>
            <rFont val="Tahoma"/>
            <family val="2"/>
          </rPr>
          <t xml:space="preserve">
</t>
        </r>
        <r>
          <rPr>
            <u/>
            <sz val="9"/>
            <color indexed="81"/>
            <rFont val="Tahoma"/>
            <family val="2"/>
          </rPr>
          <t>Begründung für diesen Wert:</t>
        </r>
        <r>
          <rPr>
            <sz val="9"/>
            <color indexed="81"/>
            <rFont val="Tahoma"/>
            <family val="2"/>
          </rPr>
          <t xml:space="preserve">
- Dieser Wert hängt natürlich davon ab, wie viel uns jeder neue User tatsächlich kostet und ein Einnahmen bringt. 
- Auf Basis der aktuellen Schätzwerte ist klar, dass jeder User sehr rasch deutlich mehr Geld einbringt, als er kostet - weshalb es solange Sinn für uns macht, möglichst viel Geld in Werbung zu stecken, solange wir ein gutes Verhältnis der Kosten pro neuem User aufrechterhalten können. 
- Irgendwann sind bestimmte Marketingkanäle oder die Zielgruppe erschöpft und bei anderen Zugängen sind die Kosten pro neuem User höher, eventuell zu hoch. Darum gibt es in der Spalte rechts auch einen Grenzwert, wie viel Geld wir maximal pro Monat in bezahlte Werbung stecken sollten.
- Dieser Wert ist absichtlich ein Prozentwert von den Einnahmen, weil wir damit nicht riskieren würden, uns zu stark zu verschulden. 
- Mit entsprechendem Investment könnten wir natürlich auch unabhängig von den Einnahmen deutlich mehr Geld für bezahlte Werbung ausgeben und viel schneller wachsen. Wie die Zahlen in dieser Tabelle und bei vergleichbaren, erfolgreichen Social Networks zeigen (die teilweise Wachstumsraten von mehr als 500% pro Jahr haben - über die ersten 2-4 Jahre hinweg), entwicklen sich die Einnahmen und Userzahlen fast exponentiell, was bedeutet, dass es durchaus Sinn machen würde, den Start gewaltig zu beschleunigen, weil wir dann auch viel schneller in die schwarzen Zahlen kommen. 
- Weil wir x % der Einnahmen in Werbung investieren, ist die Entwicklung der Userzahlen "noch" exponentieller als ohnehin schon, schließlich bekommen wir durch mehr User mehr Einnahmen und investieren einen Teil dieser Einnahmen wieder in die Akquise neuer User. Der Kreislauf dreht sich immer schneller.</t>
        </r>
      </text>
    </comment>
    <comment ref="C45" authorId="0">
      <text>
        <r>
          <rPr>
            <b/>
            <sz val="9"/>
            <color indexed="81"/>
            <rFont val="Tahoma"/>
            <family val="2"/>
          </rPr>
          <t>Michael Schöggl:</t>
        </r>
        <r>
          <rPr>
            <sz val="9"/>
            <color indexed="81"/>
            <rFont val="Tahoma"/>
            <family val="2"/>
          </rPr>
          <t xml:space="preserve">
</t>
        </r>
        <r>
          <rPr>
            <b/>
            <sz val="9"/>
            <color indexed="81"/>
            <rFont val="Tahoma"/>
            <family val="2"/>
          </rPr>
          <t>Obergrenze. Wieviel € sollen maximalen pro Monat für Werbung ausgegeben werden?</t>
        </r>
        <r>
          <rPr>
            <sz val="9"/>
            <color indexed="81"/>
            <rFont val="Tahoma"/>
            <family val="2"/>
          </rPr>
          <t xml:space="preserve">
</t>
        </r>
        <r>
          <rPr>
            <u/>
            <sz val="9"/>
            <color indexed="81"/>
            <rFont val="Tahoma"/>
            <family val="2"/>
          </rPr>
          <t>Begründung für diesen Wert</t>
        </r>
        <r>
          <rPr>
            <sz val="9"/>
            <color indexed="81"/>
            <rFont val="Tahoma"/>
            <family val="2"/>
          </rPr>
          <t xml:space="preserve">:
- Es lassen sich nicht unbegrenzt viele Menschen monatlich mit bezahlter Werbung erreichen, ohne dass die Kosten pro neuem User durch Ineffizienz der Werbezugänge deutlich ansteigen. 
- Der Wert mit 10.000.000 € ist extrem hoch gewählt, weil es für ein Produkt wie connect a.) extrem viele verschiedene Möglichkeiten gibt, effektiv Werbung zu machen, und wir b.) bei den aktuellen Schätzungen auch genügend finanzielle Mittel hätten, um die besten Marketing-Profis weltweit einsetzen zu können.
- Solange uns jeder neue User weniger kostet, als er (mittelfristig) bringt, lohnt es sich, so viel Geld wie möglich in Werbung und Wachstum zu stecken. </t>
        </r>
      </text>
    </comment>
    <comment ref="B46" authorId="0">
      <text>
        <r>
          <rPr>
            <b/>
            <sz val="9"/>
            <color indexed="81"/>
            <rFont val="Tahoma"/>
            <family val="2"/>
          </rPr>
          <t>Michael Schöggl:</t>
        </r>
        <r>
          <rPr>
            <sz val="9"/>
            <color indexed="81"/>
            <rFont val="Tahoma"/>
            <family val="2"/>
          </rPr>
          <t xml:space="preserve">
</t>
        </r>
        <r>
          <rPr>
            <b/>
            <sz val="9"/>
            <color indexed="81"/>
            <rFont val="Tahoma"/>
            <family val="2"/>
          </rPr>
          <t>Wieviel Euro sollen insgesamt für eine "Boost-Kampagne" zu Beginn - d.h. nach dem offiziellem Release Mitte 2020 - ausgegeben werden?</t>
        </r>
        <r>
          <rPr>
            <sz val="9"/>
            <color indexed="81"/>
            <rFont val="Tahoma"/>
            <family val="2"/>
          </rPr>
          <t xml:space="preserve"> 
Verteilung ab Q3 2020 (pro Quartal): 35%, 30%, 20%, 15%
</t>
        </r>
        <r>
          <rPr>
            <u/>
            <sz val="9"/>
            <color indexed="81"/>
            <rFont val="Tahoma"/>
            <family val="2"/>
          </rPr>
          <t>Begründung für diesen Wert</t>
        </r>
        <r>
          <rPr>
            <sz val="9"/>
            <color indexed="81"/>
            <rFont val="Tahoma"/>
            <family val="2"/>
          </rPr>
          <t xml:space="preserve">:
- Je schneller unsere Userzahl </t>
        </r>
        <r>
          <rPr>
            <u/>
            <sz val="9"/>
            <color indexed="81"/>
            <rFont val="Tahoma"/>
            <family val="2"/>
          </rPr>
          <t>zu Beginn</t>
        </r>
        <r>
          <rPr>
            <sz val="9"/>
            <color indexed="81"/>
            <rFont val="Tahoma"/>
            <family val="2"/>
          </rPr>
          <t xml:space="preserve"> wächst, umso früher kommen wir in die Gewinnzone und umso mehr steigert sich auch das Wachstum von connect in den darauffolgenden Monaten. Darum lohnt es sich einen Teil des Investments gleich in bezahlte Werbung zu investieren - sofern die Mittel dafür übrig sind.
- Solange unsicher ist, ob jeder neue User wirklich mehr einbringt, als er kostet, stellt dieses Investment natürlich ein Risiko dar, darum macht diese Kampagne erst dann und nur solange Sinn, bis die Akquirierungskosten durch ein Ausschöpfen dieses Marketingzugangs zu hoch werden. Bevor wir so eine Kampagne starten, müssen wir genaue Zahlen zur Absprungrate und zu den ersten Einnahmen über den In-App-Shop haben, idealerweise auch die Wachstumsraten auf Basis der bereits bestehenden User. Diese Zahlen hier eingegeben erlauben einfache Hochrechnungen, ob sich das Investment lohnt. 
- Der hier eingetragene Betrag wird auf ein Jahr verteilt ausgegeben, davon 35% im 1. Quartal, 30% im 2. Quartal, 20% im 3. Quartal und 15% im 4. Quartal. Umso früher User akquiriert werden, umso stärker beeinflusst das den gesamten zukünftigen Verlauf positiv, aber gleichzeitig ergeben sich dadurch natürlich auch Risiken (z.B. kann der positive Werbeeffekt nicht beliebig weit hochskaliert werden). Das tatsächliche Tempo der Kampagne wird also von den konkreten Zahlen und Erfahrungen bis zu diesem Zeitpunkt abhängig gemacht.</t>
        </r>
      </text>
    </comment>
    <comment ref="A47" authorId="0">
      <text>
        <r>
          <rPr>
            <b/>
            <sz val="9"/>
            <color indexed="81"/>
            <rFont val="Tahoma"/>
            <family val="2"/>
          </rPr>
          <t xml:space="preserve">Michael Schöggl:
</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
</t>
        </r>
      </text>
    </comment>
    <comment ref="A49"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List>
</comments>
</file>

<file path=xl/comments5.xml><?xml version="1.0" encoding="utf-8"?>
<comments xmlns="http://schemas.openxmlformats.org/spreadsheetml/2006/main">
  <authors>
    <author>Michael Schöggl</author>
  </authors>
  <commentList>
    <comment ref="E12" authorId="0">
      <text>
        <r>
          <rPr>
            <b/>
            <sz val="9"/>
            <color indexed="81"/>
            <rFont val="Tahoma"/>
            <family val="2"/>
          </rPr>
          <t>Michael Schöggl:</t>
        </r>
        <r>
          <rPr>
            <sz val="9"/>
            <color indexed="81"/>
            <rFont val="Tahoma"/>
            <family val="2"/>
          </rPr>
          <t xml:space="preserve">
- Bei WhatsApp ist es schwer zu sagen, ob das erste Jahr 2008 zählt (weil WhatsApp noch komplett andere Funktionen hatte und meines Wissens auch erst gegen Jahresende veröffentlicht wurde). 
- Allgemein ist es schwierig, eine Bewertung nach "Erfolg im xten Jahr" durchzuführen, weil nicht jedes Netzwerk dasselbe, volle erste Jahr hatte, um zu wachsen. Facebook hatte schon im ersten Jahr 1 Mio User, "damit startet es sich" deutlich einfacher, als mit 11.000 (z.B. bei LinkedIn). 
- Aber allen erfolgreichen Netzwerken ist etwas gemeinsam: sie wachsen in den ersten Jahren um viele hundert Prozent und mit einem unglaublichen Tempo. Selbst, wenn wir hier nur das langsamste Tempo erreichen sollten - jenes von LinkedIn, das bekanntlich sehr spezialisiert ist - würden wir (wie in unseren Prognosen) rund 3-4 Millionen User im dritten Jahr erwarten dürfen.
- Das Argument, dass es neue Netzwerke schwerer hätten, als ältere (aufgrund der Konkurrenz) scheint durch die Zahlen wiederlegt: WeChat und Instagram überspringen die etwas schwächere Startphase und haben im 3. Jahr bereits 80 Mio User bzw. 355 Mio User.
- Wir sind sehr zuversichtlich, dass uns die Konkurrenz nicht schadet, sondern durch den Multi-Messenger eher beflügelt (weil wir deren Stärken in unser Netzwerk integrieren - und zwar alle). Der Markt ist groß genug, viele User verwenden mehrere Netzwerke parallel und vor allem: connect ist neuartig genug, hat genügend Eigen-Mehrwert, eine komplett andere User-Oberfläche und viele sehr soziale, lustige Gimmick-Funktionen, um gerade für jungen Menschen und Gamer bzw. VR-Fans attraktiv zu sein.</t>
        </r>
      </text>
    </comment>
  </commentList>
</comments>
</file>

<file path=xl/comments6.xml><?xml version="1.0" encoding="utf-8"?>
<comments xmlns="http://schemas.openxmlformats.org/spreadsheetml/2006/main">
  <authors>
    <author>Michael Schöggl</author>
    <author>e.com</author>
  </authors>
  <commentList>
    <comment ref="B2" authorId="0">
      <text>
        <r>
          <rPr>
            <b/>
            <sz val="9"/>
            <color indexed="81"/>
            <rFont val="Tahoma"/>
            <family val="2"/>
          </rPr>
          <t xml:space="preserve">Michael Schöggl:
</t>
        </r>
        <r>
          <rPr>
            <sz val="9"/>
            <color indexed="81"/>
            <rFont val="Tahoma"/>
            <family val="2"/>
          </rPr>
          <t xml:space="preserve">
- Die optimistische Prognose geht immer noch von realistischen Zahlen aus und orientiert sich an Vergleichswerten, aber sie berücksichtigt in vollem Umfang all jene Faktor, die unserer Meinung nach connect positiv von anderen Mitbewerbern abgrenzen und für unseren besonderen Erfolg verantwortlich sein werden. 
- Theoretisch könnte sich connect noch besser, als in dieser Prognose entwickeln (auch bei Facebook wäre niemals der jetzige Erfolg auf Basis der ersten Homepage-Version vorhersehbar gewesen), u.a. weil gute Mitarbeiter (die sich ein erfolgreiches Unternehmen schnell leisten kann), Erfolge bewirken können, die auch deutlich über den durchschnitten Entwicklungen liegen. connect ist ein einzigartiges Projekt, das den Traum vieler Menschen wahrmacht und zugleich moralische Werte wie Datenschutz vertritt, darum kann es uns gelingen, viele besonders fähige oder motivierte Unterstützer zu gewinnen.
- Dennoch: Diese optimistische Prognose wurde so erstellt, dass mit einer geschätzten Wahrscheinlichkeit von mehr als 95% kein noch besseres Ergebnis zu erwarten sein wird. 
- Weil es beim ohnehin schon sehr positiven Verlauf kaum mehr eine Rolle spielt, wie hoch unsere Kosten sind, und weil wir Erfolg durch viele User und nicht durch hohen Gewinn definieren, wurden auch alle Ausgaben stark angehoben. Das verdeutlicht unser Ziel, bei entsprechendem Erfolg connect mit eindeutigem Fokus so schnell und positiv wie möglich weiterzuentwickeln, neue Geschäftsbereiche zu erschließen und connect zu einer echten, virtuellen Welt auszubauen. 
- Wer also hohe Gewinne sehen will, der möge bitte bei dieser Prognose einfach die prozentual von den Einnahmen abhängigen Personalkosten senken. Hohe Ausgaben für hohe Gewinne sind dank der Automatisierung aller Prozesse und unserer Strategie, die Schaffung neuer Inhalte primär unseren Partnern zu überlassen, nicht zwingend notwendig.</t>
        </r>
      </text>
    </comment>
    <comment ref="D2" authorId="0">
      <text>
        <r>
          <rPr>
            <b/>
            <sz val="9"/>
            <color indexed="81"/>
            <rFont val="Tahoma"/>
            <family val="2"/>
          </rPr>
          <t>Michael Schöggl:</t>
        </r>
        <r>
          <rPr>
            <sz val="9"/>
            <color indexed="81"/>
            <rFont val="Tahoma"/>
            <family val="2"/>
          </rPr>
          <t xml:space="preserve">
- </t>
        </r>
        <r>
          <rPr>
            <u/>
            <sz val="9"/>
            <color indexed="81"/>
            <rFont val="Tahoma"/>
            <family val="2"/>
          </rPr>
          <t>In den hell-orange-rosanen Zellen</t>
        </r>
        <r>
          <rPr>
            <sz val="9"/>
            <color indexed="81"/>
            <rFont val="Tahoma"/>
            <family val="2"/>
          </rPr>
          <t xml:space="preserve"> wurden die Werte von Ihrer Schätzung im Register-Tab "Eigene Schätzung" übernommen.
-</t>
        </r>
        <r>
          <rPr>
            <u/>
            <sz val="9"/>
            <color indexed="81"/>
            <rFont val="Tahoma"/>
            <family val="2"/>
          </rPr>
          <t xml:space="preserve"> In den kräftig orangen Zellen</t>
        </r>
        <r>
          <rPr>
            <sz val="9"/>
            <color indexed="81"/>
            <rFont val="Tahoma"/>
            <family val="2"/>
          </rPr>
          <t xml:space="preserve"> können Sie weitere, zusätzliche Schätzwerte eintragen bzw. die bisherigen Werte durch einen zeitlichen Verlauf (z.B. Wachstum oder Reduktion eines Wertes um x pro Quartal) noch genauer spezifizieren.
- In den anderen </t>
        </r>
        <r>
          <rPr>
            <u/>
            <sz val="9"/>
            <color indexed="81"/>
            <rFont val="Tahoma"/>
            <family val="2"/>
          </rPr>
          <t>Register Tabs</t>
        </r>
        <r>
          <rPr>
            <sz val="9"/>
            <color indexed="81"/>
            <rFont val="Tahoma"/>
            <family val="2"/>
          </rPr>
          <t xml:space="preserve"> mit unseren eigenen Schätzwerten (z.B. "Realistisch", "Vorsichtig", etc.) sind diese zwei Spalten (D, E) leer. Wenn Sie dort Schätzwerte händisch eintragen, überschreiben Sie damit temporär unsere Schätzwerte in den zwei Spalten links davon (B, C). So können Sie auch abseits von Ihren Schätzwerten in "Eigene Schätzung" sehr detallierte eigene Prognosen erstellen. 
- </t>
        </r>
        <r>
          <rPr>
            <u/>
            <sz val="9"/>
            <color indexed="81"/>
            <rFont val="Tahoma"/>
            <family val="2"/>
          </rPr>
          <t>Weißer Hintergrund</t>
        </r>
        <r>
          <rPr>
            <sz val="9"/>
            <color indexed="81"/>
            <rFont val="Tahoma"/>
            <family val="2"/>
          </rPr>
          <t xml:space="preserve">: Die Schätzwerte aus den Spalten D und E (bzw. wenn Sie keine gesetzt haben, aus B und C) werden dann für die Berechnung aller Werte in den Spalten rechts (ab F) übernommen. Jedoch NUR für jene, mit farbigem Hintergrund. Die Zellen ab Spalte F, die weißen Hintergrund haben, verlangen, dass Sie händisch Werte eintragen, für sie wird nicht auf Basis von Formeln und den Schätzwerten von B bis E ein Wert ermittelt. Üblicherweise hat das den Grund, dass für diese Quartale andere Zahlen gelten müssen, z.B., weil die App bis Mitte 2020 (d.h. 1. und 2. Quartal 2020) noch nicht fertiggestellt ist und daher viele Schätzwerte deutlich negativer ausfallen werden, als in den Formeln für die Zeit danach. 
- Eigene Schätzwerte können grundsätzlich überall, im gesamten File, eingetragen werden. Keine Zelle wurde gesperrt. Wenn sich darin aber bereits Formeln befunden haben, würden diese dadurch gelöscht werden. Daher empfehlen wir, eine Sicherungskopie des Files anzulegen, oder nur in einem Tab (z.B: "Ergebnis eigene Schätzung") die Zellen durch eigene Werte zu überschreiben. Oder Sie kopieren einen Register-Tab und arbeiten an der Kopie. 
</t>
        </r>
      </text>
    </comment>
    <comment ref="F2" authorId="0">
      <text>
        <r>
          <rPr>
            <b/>
            <sz val="9"/>
            <color indexed="81"/>
            <rFont val="Tahoma"/>
            <family val="2"/>
          </rPr>
          <t>Michael Schöggl:</t>
        </r>
        <r>
          <rPr>
            <sz val="9"/>
            <color indexed="81"/>
            <rFont val="Tahoma"/>
            <family val="2"/>
          </rPr>
          <t xml:space="preserve">
- By Q3 2020 connect will be in the alpha development phase, where many functions are still missing, usability is poor and our users will therefore jump out again quickly. 
- All values up to Q3 2020 cannot be compared with later values, therefore many were entered manually instead of calculated by formula.</t>
        </r>
      </text>
    </comment>
    <comment ref="G2" authorId="0">
      <text>
        <r>
          <rPr>
            <b/>
            <sz val="9"/>
            <color indexed="81"/>
            <rFont val="Tahoma"/>
            <family val="2"/>
          </rPr>
          <t xml:space="preserve">Michael Schöggl:
- </t>
        </r>
        <r>
          <rPr>
            <sz val="9"/>
            <color indexed="81"/>
            <rFont val="Tahoma"/>
            <family val="2"/>
          </rPr>
          <t>By Q3 2020 connect will be in the alpha development phase, where many functions are still missing, usability is poor and our users will therefore jump out again quickly. 
- All values up to Q3 2020 cannot be compared with later values, therefore many were entered manually instead of calculated by formula.</t>
        </r>
      </text>
    </comment>
    <comment ref="A3" authorId="1">
      <text>
        <r>
          <rPr>
            <b/>
            <sz val="9"/>
            <color indexed="81"/>
            <rFont val="Tahoma"/>
            <family val="2"/>
          </rPr>
          <t xml:space="preserve">e.com:
</t>
        </r>
        <r>
          <rPr>
            <sz val="9"/>
            <color indexed="81"/>
            <rFont val="Tahoma"/>
            <family val="2"/>
          </rPr>
          <t xml:space="preserve">
Für den Erfolg von connect sind vor allem die Userzahlen verantwortlich. 
</t>
        </r>
        <r>
          <rPr>
            <u/>
            <sz val="9"/>
            <color indexed="81"/>
            <rFont val="Tahoma"/>
            <family val="2"/>
          </rPr>
          <t>Wachstumsraten der erfolgreichsten Social Networks</t>
        </r>
        <r>
          <rPr>
            <sz val="9"/>
            <color indexed="81"/>
            <rFont val="Tahoma"/>
            <family val="2"/>
          </rPr>
          <t xml:space="preserve">: 
- im dritten Jahr hatten sie bereits mehr als 4 Millionen User (bis zu 355 Mio - WeChat)
- erst ab ca. 600 Millionen Usern weniger Wachstum als 50 % pro Jahr (davor deutlich mehr)
- siehe "Vergleich Wachstum Mitbewerber" (Register-Tab unten links)
</t>
        </r>
        <r>
          <rPr>
            <b/>
            <sz val="9"/>
            <color indexed="81"/>
            <rFont val="Tahoma"/>
            <family val="2"/>
          </rPr>
          <t xml:space="preserve">
Erklärungen:</t>
        </r>
        <r>
          <rPr>
            <sz val="9"/>
            <color indexed="81"/>
            <rFont val="Tahoma"/>
            <family val="2"/>
          </rPr>
          <t xml:space="preserve">
-</t>
        </r>
        <r>
          <rPr>
            <u/>
            <sz val="9"/>
            <color indexed="81"/>
            <rFont val="Tahoma"/>
            <family val="2"/>
          </rPr>
          <t xml:space="preserve"> Summe A</t>
        </r>
        <r>
          <rPr>
            <sz val="9"/>
            <color indexed="81"/>
            <rFont val="Tahoma"/>
            <family val="2"/>
          </rPr>
          <t xml:space="preserve"> (Zeile 8) zählt alle </t>
        </r>
        <r>
          <rPr>
            <u/>
            <sz val="9"/>
            <color indexed="81"/>
            <rFont val="Tahoma"/>
            <family val="2"/>
          </rPr>
          <t>neuen User</t>
        </r>
        <r>
          <rPr>
            <sz val="9"/>
            <color indexed="81"/>
            <rFont val="Tahoma"/>
            <family val="2"/>
          </rPr>
          <t xml:space="preserve"> abzüglich der Sättigung(!) zusammen, die </t>
        </r>
        <r>
          <rPr>
            <u/>
            <sz val="9"/>
            <color indexed="81"/>
            <rFont val="Tahoma"/>
            <family val="2"/>
          </rPr>
          <t>relativ unabhängig von der bisherigen User-Basis neu zu connect kommen</t>
        </r>
        <r>
          <rPr>
            <sz val="9"/>
            <color indexed="81"/>
            <rFont val="Tahoma"/>
            <family val="2"/>
          </rPr>
          <t xml:space="preserve"> (bezahlte Werbung, Medien-Berichte, organische Suche). Ohne diese Zugänge könnten wir zu Beginn nicht ausreichend viele User aufbauen, um über Summe B (Zeile 14) durch die Nutzung aller bisherigen User für Marketing-Maßnahmen prozentual weiter zu wachsen. 
- </t>
        </r>
        <r>
          <rPr>
            <u/>
            <sz val="9"/>
            <color indexed="81"/>
            <rFont val="Tahoma"/>
            <family val="2"/>
          </rPr>
          <t>Summe B</t>
        </r>
        <r>
          <rPr>
            <sz val="9"/>
            <color indexed="81"/>
            <rFont val="Tahoma"/>
            <family val="2"/>
          </rPr>
          <t xml:space="preserve"> (Zeile 14) zählt alle </t>
        </r>
        <r>
          <rPr>
            <u/>
            <sz val="9"/>
            <color indexed="81"/>
            <rFont val="Tahoma"/>
            <family val="2"/>
          </rPr>
          <t>neuen User</t>
        </r>
        <r>
          <rPr>
            <sz val="9"/>
            <color indexed="81"/>
            <rFont val="Tahoma"/>
            <family val="2"/>
          </rPr>
          <t xml:space="preserve"> abzüglich der Sättigung(!) zusammen, die </t>
        </r>
        <r>
          <rPr>
            <u/>
            <sz val="9"/>
            <color indexed="81"/>
            <rFont val="Tahoma"/>
            <family val="2"/>
          </rPr>
          <t>abhängig von der bisherigen User-Basis neu dazukommen</t>
        </r>
        <r>
          <rPr>
            <sz val="9"/>
            <color indexed="81"/>
            <rFont val="Tahoma"/>
            <family val="2"/>
          </rPr>
          <t xml:space="preserve">. Neben Mundpropaganda (1.5) sind das weitere "Tricks" (1.6 bis 1.9), um unsere bestehenden User als Werbebotschafter verwenden zu können.
- Von Summe A und B müssen dann noch unter 1.11 jene User abgezogen werden, die connect wieder verlassen. Wir rechnen hier mit einem einstellbaren Prozentsatz.
</t>
        </r>
        <r>
          <rPr>
            <b/>
            <sz val="9"/>
            <color indexed="81"/>
            <rFont val="Tahoma"/>
            <family val="2"/>
          </rPr>
          <t>Warum wird connect genauso schnell wie die erfolgreichsten Social Networks wachsen?</t>
        </r>
        <r>
          <rPr>
            <sz val="9"/>
            <color indexed="81"/>
            <rFont val="Tahoma"/>
            <family val="2"/>
          </rPr>
          <t xml:space="preserve">
- Andere Netzwerke wachsen meist nur durch bezahlte Werbung oder Mundpropaganda. 
- connect hat mindestens 4 zusätzliche, </t>
        </r>
        <r>
          <rPr>
            <b/>
            <sz val="9"/>
            <color indexed="81"/>
            <rFont val="Tahoma"/>
            <family val="2"/>
          </rPr>
          <t>einzigartige</t>
        </r>
        <r>
          <rPr>
            <sz val="9"/>
            <color indexed="81"/>
            <rFont val="Tahoma"/>
            <family val="2"/>
          </rPr>
          <t xml:space="preserve"> Zugänge mit multiplikativem</t>
        </r>
        <r>
          <rPr>
            <b/>
            <sz val="9"/>
            <color indexed="81"/>
            <rFont val="Tahoma"/>
            <family val="2"/>
          </rPr>
          <t xml:space="preserve"> Schnellball-Effekt</t>
        </r>
        <r>
          <rPr>
            <sz val="9"/>
            <color indexed="81"/>
            <rFont val="Tahoma"/>
            <family val="2"/>
          </rPr>
          <t xml:space="preserve">: 
- 1.3 Medien-Kooperationen durch die Medienschnittstelle: hunderte bis tausende Medien werden über uns kostenlos berichten, unser Erfolg ist auch ihr Erfolg
- 1.6 Multi-Messenger-Anhänge: durch "sent by connect" verbreitet jeder unserer User in seinem gesamten Kontakte-Netzwerk unseren Namen und erklärt auf Nachfrage hin, was connect ist
- 1.7 Multi-Messenger-Sharings in anderen Netzwerken: die Attraktivität von connect wird in Form von (360-Grad)-Videos und Fotos in allen anderen Netzwerken verbreitet
- 1.9 Initialisierte Mundpropaganda: durch unsere einzigartigen Klingeltöne und das Tresor-Mini-Spiele fallen unsere User in der Öffentlichkeit ständig auf
- connect hat mit Release im Jahr 2020 viel mehr zu bieten, als diese anderen Netzwerke bei ihrem Start (Multi-Media, VR, Video-Telefonie, Verschlüsselung, Individualisierung, virtuelles Eigentum, Spiele, virtuelle Haustiere, Multi-Messenger...)
- connect hebt sich sowohl optisch, als auch funktionell komplett von allen Konkurrenten ab, es gibt nichts Vergleichbares; connect ist technologisch führend und sehr verspielt für junge Menschen (VR, virtuelle Haustiere, individualisierbares Zuhause etc.)
- mit dem Multi-Messenger integriert connect die Stärken der anderen Netzwerke in sich selbst
- connect bietet maximalen Datenschutz, allein das ist ein Nutzungsgrund für Millionen Menschen und im Bereich VR ist das Neuland und von noch größerer Bedeutung (weil intimer, persönlicher)
</t>
        </r>
      </text>
    </comment>
    <comment ref="A4" authorId="1">
      <text>
        <r>
          <rPr>
            <b/>
            <sz val="9"/>
            <color indexed="81"/>
            <rFont val="Tahoma"/>
            <family val="2"/>
          </rPr>
          <t xml:space="preserve">e.com:
- </t>
        </r>
        <r>
          <rPr>
            <sz val="9"/>
            <color indexed="81"/>
            <rFont val="Tahoma"/>
            <family val="2"/>
          </rPr>
          <t>Diese Werte können auch manuell für jedes Quartal extra eingetragen werden, sinnvoller ist aber die Berechnung der Multiplikation aus Kosten pro neuem User (1.0) und der Werbeausgaben. Diese Werte daher am besten nicht manuell überschreiben, sondern indirekt durch die Änderungen in 1.0 und 3.12 erreichen.
- Das besondere an diesem Wert: Wir können ihn fast beliebig durch Werbeausgaben hochtreiben (und die Ausgaben werden mittelfristig deutlich unter den Einnahmen liegen), daher erlaubt er hohe Flexibilität. Selbst, wenn connect wider Erwarten nicht "von selbst" zum viralen Hit wird, durch entsprechende finanzielle Nachhilfe lässt sich der Erfolg mit Sicherheit erzielen. 
- Im Gegensatz zu vielen anderen Produkten und speziell VR-Apps hat connect eine fast unbegrenzte Zielgruppe, weil connect auch in 3D oder 2D und auf jedem Gerät erlebt werden kann und daher als maximale Zielgruppe Milliarden Menschen erreichen kann. Viele Menschen verwenden mehrere Soziale Netzwerke parallel zueinander, weshalb auch die Konkurrenz nicht zwingend unseren Erfolg bremsen muss. 
- Aber natürlich müsste der Marketing-Fokus sich auf die 3D-Versionen beziehen, wenn der VR-Markt "ausgeschöpft" sein sollte. Dieser VR-Markt ist aktuell (Ende 2019) noch sehr klein (rund 10 Mio Menschen), wird aber laut Prognosen in den kommenden 2-3 Jahren enorm anwachsen. In diesem Markt mitzuwachsen erlaubt ein besseres Kosten-Nutzen-Verhältnis, als ein Marketing-Fokus auf Nicht-VR-User (hier ist der Wettbewerb stärker und die Zielgruppe weniger Technik-affin), d.h. ein Wachstum abseits von VR wird teurer werden, aber sich wegen unserer vielen Geschäftsmodelle trotzdem noch lohnen.  
- Vermutlich kommt aber connect genau zum richtigen Zeitpunkt heraus, dass der VR-Markt schneller oder genauso schnell wächst, wie connect und wir den klassischen Social Network Markt auch ohne Marketing-Fokus einfach als Bonus mitnehmen können, ohne uns darauf konzentrieren zu müssen. -</t>
        </r>
      </text>
    </comment>
    <comment ref="B4" authorId="0">
      <text>
        <r>
          <rPr>
            <b/>
            <sz val="9"/>
            <color indexed="81"/>
            <rFont val="Tahoma"/>
            <family val="2"/>
          </rPr>
          <t xml:space="preserve">Michael Schöggl:
Diese Wert bitte in 3.13 einstellen, danke!
</t>
        </r>
        <r>
          <rPr>
            <sz val="9"/>
            <color indexed="81"/>
            <rFont val="Tahoma"/>
            <family val="2"/>
          </rPr>
          <t xml:space="preserve">
</t>
        </r>
        <r>
          <rPr>
            <b/>
            <sz val="9"/>
            <color indexed="81"/>
            <rFont val="Tahoma"/>
            <family val="2"/>
          </rPr>
          <t>Prozentsatz der Einnahmen, die wir pro Monat in bezahlte Werbung stecken.</t>
        </r>
        <r>
          <rPr>
            <sz val="9"/>
            <color indexed="81"/>
            <rFont val="Tahoma"/>
            <family val="2"/>
          </rPr>
          <t xml:space="preserve"> 
</t>
        </r>
        <r>
          <rPr>
            <u/>
            <sz val="9"/>
            <color indexed="81"/>
            <rFont val="Tahoma"/>
            <family val="2"/>
          </rPr>
          <t>Begründung für diesen Wert:</t>
        </r>
        <r>
          <rPr>
            <sz val="9"/>
            <color indexed="81"/>
            <rFont val="Tahoma"/>
            <family val="2"/>
          </rPr>
          <t xml:space="preserve">
- Dieser Wert hängt natürlich davon ab, wie viel uns jeder neue User tatsächlich kostet und ein Einnahmen bringt. 
- Auf Basis der aktuellen Schätzwerte ist klar, dass jeder User sehr rasch deutlich mehr Geld einbringt, als er kostet - weshalb es solange Sinn für uns macht, möglichst viel Geld in Werbung zu stecken, solange wir ein gutes Verhältnis der Kosten pro neuem User aufrechterhalten können. 
- Irgendwann sind bestimmte Marketingkanäle oder die Zielgruppe erschöpft und bei anderen Zugängen sind die Kosten pro neuem User höher, eventuell zu hoch. Darum gibt es in der Spalte rechts auch einen Grenzwert, wie viel Geld wir maximal pro Monat in bezahlte Werbung stecken sollten.
- Dieser Wert ist absichtlich ein Prozentwert von den Einnahmen, weil wir damit nicht riskieren würden, uns zu stark zu verschulden. 
- Mit entsprechendem Investment könnten wir natürlich auch unabhängig von den Einnahmen deutlich mehr Geld für bezahlte Werbung ausgeben und viel schneller wachsen. Wie die Zahlen in dieser Tabelle und bei vergleichbaren, erfolgreichen Social Networks zeigen (die teilweise Wachstumsraten von mehr als 500% pro Jahr haben - über die ersten 2-4 Jahre hinweg), entwicklen sich die Einnahmen und Userzahlen fast exponentiell, was bedeutet, dass es durchaus Sinn machen würde, den Start gewaltig zu beschleunigen, weil wir dann auch viel schneller in die schwarzen Zahlen kommen. 
- Weil wir x % der Einnahmen in Werbung investieren, ist die Entwicklung der Userzahlen "noch" exponentieller als ohnehin schon, schließlich bekommen wir durch mehr User mehr Einnahmen und investieren einen Teil dieser Einnahmen wieder in die Akquise neuer User. Der Kreislauf dreht sich immer schneller.</t>
        </r>
      </text>
    </comment>
    <comment ref="C4" authorId="0">
      <text>
        <r>
          <rPr>
            <b/>
            <sz val="9"/>
            <color indexed="81"/>
            <rFont val="Tahoma"/>
            <family val="2"/>
          </rPr>
          <t>Michael Schöggl:
Diesen Wert bitte in 3.13 einstellen, danke.</t>
        </r>
        <r>
          <rPr>
            <sz val="9"/>
            <color indexed="81"/>
            <rFont val="Tahoma"/>
            <family val="2"/>
          </rPr>
          <t xml:space="preserve">
</t>
        </r>
        <r>
          <rPr>
            <b/>
            <sz val="9"/>
            <color indexed="81"/>
            <rFont val="Tahoma"/>
            <family val="2"/>
          </rPr>
          <t xml:space="preserve">Obergrenze. Wieviel € sollen maximalen pro Monat für Werbung ausgegeben werden?
</t>
        </r>
        <r>
          <rPr>
            <u/>
            <sz val="9"/>
            <color indexed="81"/>
            <rFont val="Tahoma"/>
            <family val="2"/>
          </rPr>
          <t>Begründung für diesen Wert</t>
        </r>
        <r>
          <rPr>
            <sz val="9"/>
            <color indexed="81"/>
            <rFont val="Tahoma"/>
            <family val="2"/>
          </rPr>
          <t xml:space="preserve">:
- Es lassen sich nicht unbegrenzt viele Menschen monatlich mit bezahlter Werbung erreichen, ohne dass die Kosten pro neuem User durch Ineffizienz der Werbezugänge deutlich ansteigen. 
- Der Wert mit 10.000.000 € ist extrem hoch gewählt, weil es für ein Produkt wie connect a.) extrem viele verschiedene Möglichkeiten gibt, effektiv Werbung zu machen, und wir b.) bei den aktuellen Schätzungen auch genügend finanzielle Mittel hätten, um die besten Marketing-Profis weltweit einsetzen zu können.
- Solange uns jeder neue User weniger kostet, als er (mittelfristig) bringt, lohnt es sich, so viel Geld wie möglich in Werbung und Wachstum zu stecken. </t>
        </r>
        <r>
          <rPr>
            <sz val="9"/>
            <color indexed="81"/>
            <rFont val="Tahoma"/>
            <family val="2"/>
          </rPr>
          <t xml:space="preserve">
</t>
        </r>
      </text>
    </comment>
    <comment ref="A5" authorId="1">
      <text>
        <r>
          <rPr>
            <b/>
            <sz val="9"/>
            <color indexed="81"/>
            <rFont val="Tahoma"/>
            <family val="2"/>
          </rPr>
          <t xml:space="preserve">e.com:
</t>
        </r>
        <r>
          <rPr>
            <sz val="9"/>
            <color indexed="81"/>
            <rFont val="Tahoma"/>
            <family val="2"/>
          </rPr>
          <t xml:space="preserve">
- Unser Ziel wird es sein, im App-Store-Ranking und auch bei Steam in den Listen ganz weit oben zu landen. Wenn uns das gelingt, erreichen wir allein über die organische Suche (weil connect kostenlos und neuartig ist) zuverlässig tausende neue User pro Monat.
- Bereits wenige Wochen nach der stillen Veröffentlichung - mit einer unfertigen Version, ohne jegliche Marketing-Maßnahmen oder ernste App-Store-Optimierungen wird connect von rund 2000 neuen Usern pro Monat auf Steam heruntergeladen, auch wenn die App als Early Access in praktisch keiner Liste auftaucht (das ändert sich mit dem Release 2020). 
- Auch im Google Play Store erhalten wir täglich zwischen 10 und 50 Downloads, Tendenz steigend. 
- connect wird auch für PlayStation (VR) veröffentlicht und dort ganz sicher - mangels Konkurrenz und weil es kostenlos ist - von den bestehenden rund 400.000 neuen PlayStation-VR-Usern pro Quartal (Tendenz stark steigend) einen mindestens 1-3%igen Anteil der User erreichen können - ohne Werbekosten. Gerade die PlayStation hat ein gewaltiges Potential, weil es hier praktisch keine Alternativen gibt - auch nicht in absehbarer Zukunft. Schon gar keinen Multimessenger, mit dem man Mails, FB-Nachrichten, SMS und mehr schreiben kann. 
- Die Organische Suche über App-Store-Ranking reicht bei manchen Spielen aus, um in wenigen Monaten hunderttausende neue User zu erreichen. Wir werden einen großen Fokus darauf legen, in all diesen "Stores" (für alle unterstütze Geräte) maximale Sichtbarkeit zu erzielen. Die Schätzwerte hier sind also überaus vorsichtig, da connect kostenlos ist, könnte hier deutlich mehr Schwung reinkommen, sobald wir im Ranking ganz oben sind. </t>
        </r>
      </text>
    </comment>
    <comment ref="B5" authorId="0">
      <text>
        <r>
          <rPr>
            <b/>
            <sz val="9"/>
            <color indexed="81"/>
            <rFont val="Tahoma"/>
            <family val="2"/>
          </rPr>
          <t xml:space="preserve">Michael Schöggl:
</t>
        </r>
        <r>
          <rPr>
            <sz val="9"/>
            <color indexed="81"/>
            <rFont val="Tahoma"/>
            <family val="2"/>
          </rPr>
          <t xml:space="preserve">
</t>
        </r>
        <r>
          <rPr>
            <b/>
            <sz val="9"/>
            <color indexed="81"/>
            <rFont val="Tahoma"/>
            <family val="2"/>
          </rPr>
          <t>Um welchen Fixwert steigert sich die Anzahl der neuen User durch organische Suche pro Quartal?</t>
        </r>
        <r>
          <rPr>
            <sz val="9"/>
            <color indexed="81"/>
            <rFont val="Tahoma"/>
            <family val="2"/>
          </rPr>
          <t xml:space="preserve">
</t>
        </r>
        <r>
          <rPr>
            <u/>
            <sz val="9"/>
            <color indexed="81"/>
            <rFont val="Tahoma"/>
            <family val="2"/>
          </rPr>
          <t>Begründung für diesen Wert</t>
        </r>
        <r>
          <rPr>
            <sz val="9"/>
            <color indexed="81"/>
            <rFont val="Tahoma"/>
            <family val="2"/>
          </rPr>
          <t>:
- Die Steigerung liegt u.a. daran, dass wir im Ranking weiter aufsteigen, je mehr Downloads wir erhalten und dadurch viel einfacher zu finden sind. Außerdem werden wir unseren App-Store-Auftritt optimieren (ASO) (u.a. weil wir zunehmend mehr Geld und damit auch Möglichkeiten in durch Outsourcing-Profis haben).
- Für mehr Argumente siehe Spalte rechts.</t>
        </r>
      </text>
    </comment>
    <comment ref="C5" authorId="0">
      <text>
        <r>
          <rPr>
            <b/>
            <sz val="9"/>
            <color indexed="81"/>
            <rFont val="Tahoma"/>
            <family val="2"/>
          </rPr>
          <t xml:space="preserve">Michael Schöggl:
</t>
        </r>
        <r>
          <rPr>
            <sz val="9"/>
            <color indexed="81"/>
            <rFont val="Tahoma"/>
            <family val="2"/>
          </rPr>
          <t xml:space="preserve">
</t>
        </r>
        <r>
          <rPr>
            <b/>
            <sz val="9"/>
            <color indexed="81"/>
            <rFont val="Tahoma"/>
            <family val="2"/>
          </rPr>
          <t>Um wie viel Prozent erhöht sich der Wert pro Quartal?</t>
        </r>
        <r>
          <rPr>
            <sz val="9"/>
            <color indexed="81"/>
            <rFont val="Tahoma"/>
            <family val="2"/>
          </rPr>
          <t xml:space="preserve">
</t>
        </r>
        <r>
          <rPr>
            <u/>
            <sz val="9"/>
            <color indexed="81"/>
            <rFont val="Tahoma"/>
            <family val="2"/>
          </rPr>
          <t>Begründung für diesen Wert</t>
        </r>
        <r>
          <rPr>
            <sz val="9"/>
            <color indexed="81"/>
            <rFont val="Tahoma"/>
            <family val="2"/>
          </rPr>
          <t xml:space="preserve">:
- Die Steigerung wird nicht linear sein (also immer um einen Fixwert pro Quartal mehr), sondern umso stärker zunehmen, je bekannter die App wird und umso weiter sie auch im Ranking aufsteigt. 
- Wenn wir z.B. unter den Top 10 landen, dürfen wir allein dadurch mit Millionen Views pro Monat rechnen und insofern auch problemlos mit mehreren tausend neuen Usern. 
- Bis Ende 2022 sollte uns ein Platz unter den Top 10 für einige wichtige Keywords bzw. Kategorien gelingen. Mit entsprechendem Kapital lässt sich das aber schon viel früher erreichen.
- Wir werden einen starken Fokus auf App-Store-Optimierung legen und auch Zeit und Geld investieren, um auf möglichst vielen Plattformen möglichst einfach gefunden zu werden. Diese Investments sind primär Personalkosten (3.2), weshalb sich eine eigene Darstellung hier nicht lohnt.
- Umso vielseitiger connect (funktionell) wird, umso mehr Keywords passen für die organische Suche und umso höher steigen wir auch bei neuen Keywords im Ranking auf. 
- Wenn Partner oder Medien auf uns mit Links verweisen, beeinflußt das unser Ranking ebenso positiv. 
- Wir werden auch später Usern für (positive) Bewertungen In-App-Gegenleistungen geben, je positiver die Bewertung, umso höher steigen wir im Ranking. 
- Je mehr Downloads wir bereits erzielt haben, umso höher steigen wir im Ranking und umso mehr finden uns durch organische Suche.
- Unser CTO hat ganz alleine Apps programmiert, die mehr als 600 User </t>
        </r>
        <r>
          <rPr>
            <i/>
            <sz val="9"/>
            <color indexed="81"/>
            <rFont val="Tahoma"/>
            <family val="2"/>
          </rPr>
          <t>pro Tag</t>
        </r>
        <r>
          <rPr>
            <sz val="9"/>
            <color indexed="81"/>
            <rFont val="Tahoma"/>
            <family val="2"/>
          </rPr>
          <t xml:space="preserve"> an Downloads ohne irgendwelche Marketing-Maßnahmen allein aufgrund der organischen Suche verzeichnen (d.h. 18.000 im Monat). Unsere Werte hier sind sehr bescheiden.</t>
        </r>
      </text>
    </comment>
    <comment ref="A6" authorId="1">
      <text>
        <r>
          <rPr>
            <b/>
            <sz val="9"/>
            <color indexed="81"/>
            <rFont val="Tahoma"/>
            <family val="2"/>
          </rPr>
          <t xml:space="preserve">e.com:
Violette Marketing-Zugänge sind neuartige Konzepte von connect, die anderen Social Networks nicht zur Verfügung standen, oder zumindest nicht in diesem Ausmaß </t>
        </r>
        <r>
          <rPr>
            <sz val="9"/>
            <color indexed="81"/>
            <rFont val="Tahoma"/>
            <family val="2"/>
          </rPr>
          <t>(z.B. Medien direkt zur Berichterstattung zu motivieren (1.3) bzw. Usern für das Werben neuer User eine interessante Belohnung in Form von limitierten, exklusive In-App-Inhalten wie virtuellen Haustieren, etc. zu geben, die sie auch wirklich wollen (1.8))</t>
        </r>
        <r>
          <rPr>
            <b/>
            <sz val="9"/>
            <color indexed="81"/>
            <rFont val="Tahoma"/>
            <family val="2"/>
          </rPr>
          <t xml:space="preserve">. 
</t>
        </r>
        <r>
          <rPr>
            <sz val="9"/>
            <color indexed="81"/>
            <rFont val="Tahoma"/>
            <family val="2"/>
          </rPr>
          <t xml:space="preserve">
- Ab Q3 in 2020 ist connect fertig und wir werden bis dahin aufgebaute Medien-Kooperationen nutzen, um connect durch Berichterstattung bekannt zu machen.
- Bis dahin werden wir auch genügend Testuser haben, um den Medien unser Thema als berichtenswert zu verkaufen. 
- Manche Medien erreichen Millionen Menschen, wir haben die Kontaktdaten von 200.000 Medien weltweit, denen wir anbieten können, unsere Medienschnittstelle kostenlos verwenden zu können, wenn sie dafür über uns berichten. 
- Zu Beginn wird das Interesse zaghaft sein, aber wenn wir ein paar größere Medien durch persönliche Bemühungen überzeugen konnten, werden rasch immer mehr Medie mehr auf den "Zug aufspringen" und sich die kostenlose Schnittstelle durch Berichterstattung sichern.
- Die Medien müssen regelmäßig für die Schjnittstelle berichten und langfristig werden fast alle Medien ein Interesse haben, weil wir kostenlose neue Kunden bringen, über ein bereits an Fahrt gewinnendes neues Social Network in VR (bzw. die Verwirklichung von Träumen) zu berichten.</t>
        </r>
      </text>
    </comment>
    <comment ref="B6" authorId="0">
      <text>
        <r>
          <rPr>
            <b/>
            <sz val="9"/>
            <color indexed="81"/>
            <rFont val="Tahoma"/>
            <family val="2"/>
          </rPr>
          <t>Michael Schöggl:</t>
        </r>
        <r>
          <rPr>
            <sz val="9"/>
            <color indexed="81"/>
            <rFont val="Tahoma"/>
            <family val="2"/>
          </rPr>
          <t xml:space="preserve">
</t>
        </r>
        <r>
          <rPr>
            <b/>
            <sz val="9"/>
            <color indexed="81"/>
            <rFont val="Tahoma"/>
            <family val="2"/>
          </rPr>
          <t>Von wievielen neuen Usern durch Medienberichte gehen wir zu Beginn aus?</t>
        </r>
        <r>
          <rPr>
            <sz val="9"/>
            <color indexed="81"/>
            <rFont val="Tahoma"/>
            <family val="2"/>
          </rPr>
          <t xml:space="preserve"> (danach nur noch prozentuale Steigerung)
</t>
        </r>
        <r>
          <rPr>
            <u/>
            <sz val="9"/>
            <color indexed="81"/>
            <rFont val="Tahoma"/>
            <family val="2"/>
          </rPr>
          <t>Begründung für diesen Wert:</t>
        </r>
        <r>
          <rPr>
            <sz val="9"/>
            <color indexed="81"/>
            <rFont val="Tahoma"/>
            <family val="2"/>
          </rPr>
          <t xml:space="preserve">
- 100 neue User pro Monat durch Medienberichte sind realistisch, das entspricht ca. 1-2 kleineren Berichten im Monat. Wir haben bereits fixe Zusagen von z.B. der Antenne Steiermark und Kärnten, dass sie mehrmals über uns berichten wollen. 
- Auch gab es vor Veröffentlichung der ersten Testversionen bereits ca. 30 Medienberichte über uns, u.a. vom ORF, Kleine Zeitung, Der Standard, OE24 (3 Berichte) und KroneHit. Leider waren all diese Medienberichte zu früh, die Interessierten hatten noch keine App, die sie probieren konnten, teilweise noch nicht einmal einen Homepage-Link. Wir warten nun absichtlich, bis connect einen guten Eindruck bei allen Testern hinterlässt, bevor wir erneut Zeit und Energie in die Medienberichterstattung stecken. Durch unsere Medienschnittstelle werden wir sehr leicht Berichterstattung erhalten, sobald connect fertiggestellt ist und ein positives Kundenerlebnis gewährleistet.
- Die Kronenzeitung und die Kleine Zeitung haben einer (weiteren) Berichterstattung bereits zugesagt. Rund 15 kleinere VR-Netzwerke haben bereits (lange vor einer testbaren Version und somit fast wirkungslos) berichtet und werden ziemlich sicher wieder berichten.
</t>
        </r>
      </text>
    </comment>
    <comment ref="C6" authorId="0">
      <text>
        <r>
          <rPr>
            <b/>
            <sz val="9"/>
            <color indexed="81"/>
            <rFont val="Tahoma"/>
            <family val="2"/>
          </rPr>
          <t>Michael Schöggl:</t>
        </r>
        <r>
          <rPr>
            <sz val="9"/>
            <color indexed="81"/>
            <rFont val="Tahoma"/>
            <family val="2"/>
          </rPr>
          <t xml:space="preserve">
</t>
        </r>
        <r>
          <rPr>
            <b/>
            <sz val="9"/>
            <color indexed="81"/>
            <rFont val="Tahoma"/>
            <family val="2"/>
          </rPr>
          <t>Um wieviel Prozent der aktuellen Userzahl steigen die neuen User durch Medienberichte pro Monat?</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eher werden Medien über uns berichten wollen. 
- Je mehr User wir haben, umso mehr Medien werden an unserer Medienschnittstelle interessiert sein (und berichten, um sie kostenlos verwenden zu können). 
- Folglich wird dieser Wert auch ohne Kosten für uns mit unserer User-Basis mit anwachsen. 
- 2 % Wachstum pro Monat bedeutet, dass durch die Berichterstattung der Medien unsere Userzahl pro Jahr um nicht ganz 25 % wächst. 
- Dieser Wert ist womöglich viel zu pessimistisch, da es viele Soziale Netzwerke, Spiele oder Trends gibt, die innerhalb kürzester Zeit (nachdem die Medien über sie berichten) "explodieren" (d.h. mehrere hundert bis tausend Prozent Wachstum pro Jahr, bis sie eine gewisse Größe erreicht haben und es keine Zielgruppe mehr für sie gibt). Siehe z.B. Pokemon Go. 
- Im Gegensatz zu anderen Netzwerken bieten wir den Medien für ihre Berichterstattung eine Gegenleistung durch unsere Medienschnittstelle und lassen sie an unserem Erfolg teilhaben.</t>
        </r>
      </text>
    </comment>
    <comment ref="A7" authorId="1">
      <text>
        <r>
          <rPr>
            <b/>
            <sz val="9"/>
            <color indexed="81"/>
            <rFont val="Tahoma"/>
            <family val="2"/>
          </rPr>
          <t xml:space="preserve">e.com:
</t>
        </r>
        <r>
          <rPr>
            <sz val="9"/>
            <color indexed="81"/>
            <rFont val="Tahoma"/>
            <family val="2"/>
          </rPr>
          <t xml:space="preserve">
- Ab 2021 sollten wir genügend User haben, um für Product Placement Partner, Medien-Partner, Online-Shops und Drittanbieter interessant genug zu sein. 
- Ab diesem Zeitpunkt werden diese Anbieter auf ihre eigenen Leistungen in connect hinweisen und dadurch indirekt für uns Werbung machen. Primär gilt dies natürlich für Drittanbieter und verknüpfte Online-Shops, Medien-Berichterstattung wird unter 1.3 extra angeführt und Product Placement Partner werden weniger aktiv sein.</t>
        </r>
      </text>
    </comment>
    <comment ref="B7" authorId="0">
      <text>
        <r>
          <rPr>
            <b/>
            <sz val="9"/>
            <color indexed="81"/>
            <rFont val="Tahoma"/>
            <family val="2"/>
          </rPr>
          <t>Michael Schöggl:</t>
        </r>
        <r>
          <rPr>
            <sz val="9"/>
            <color indexed="81"/>
            <rFont val="Tahoma"/>
            <family val="2"/>
          </rPr>
          <t xml:space="preserve">
</t>
        </r>
        <r>
          <rPr>
            <b/>
            <sz val="9"/>
            <color indexed="81"/>
            <rFont val="Tahoma"/>
            <family val="2"/>
          </rPr>
          <t xml:space="preserve">Von wievielen neuen Usern durch die Werbung unserer Partner </t>
        </r>
        <r>
          <rPr>
            <sz val="9"/>
            <color indexed="81"/>
            <rFont val="Tahoma"/>
            <family val="2"/>
          </rPr>
          <t>(u.a. Online-Shopping, VR-Shops, Drittanbieter, etc.)</t>
        </r>
        <r>
          <rPr>
            <b/>
            <sz val="9"/>
            <color indexed="81"/>
            <rFont val="Tahoma"/>
            <family val="2"/>
          </rPr>
          <t xml:space="preserve"> gehen wir zu Beginn aus?</t>
        </r>
        <r>
          <rPr>
            <sz val="9"/>
            <color indexed="81"/>
            <rFont val="Tahoma"/>
            <family val="2"/>
          </rPr>
          <t xml:space="preserve"> (danach nur noch prozentuale Steigerung)
</t>
        </r>
        <r>
          <rPr>
            <u/>
            <sz val="9"/>
            <color indexed="81"/>
            <rFont val="Tahoma"/>
            <family val="2"/>
          </rPr>
          <t>Begründung für diesen Wert:</t>
        </r>
        <r>
          <rPr>
            <sz val="9"/>
            <color indexed="81"/>
            <rFont val="Tahoma"/>
            <family val="2"/>
          </rPr>
          <t xml:space="preserve">
- Im Gegenzug zu günstigeren Konditionen könnten unsere Partner indirekt für uns werben (z.B. indem sie darauf hinweisen, dass ihre Produkte auch in einem VR-Shop - erreichbar z.B. über connect - gekauft werden können). 
- Drittanbieter werden automatisch auf uns verweisen müssen, um ihre Inhalte verkaufen zu können. 
- Wenn connect erfolgreich wird, werden ähnlich wie bei anderen Netzwerken viele Unternehmen in ihrem Erfolg von uns abhängig - somit werden wir automatisch auch zum Thema von Gesprächen oder Öffentlichkeitsarbeit etc. gemacht.
- Wir rechnen ohnehin erst ab 2021 mit Partnern (auch wenn es bereits fast ein Dutzend konkrete Interessenten gibt), bis dahin ist ein Startwert von 100 sehr realistisch.
- Dieser Wert hast praktisch keine Bedeutung, die Steigerung basiert nur auf dem prozentualen Wert, dieser Wert fließt nur insofern ein, dass er jeden Monat als "Fixwert" miteinfließt.</t>
        </r>
      </text>
    </comment>
    <comment ref="C7" authorId="0">
      <text>
        <r>
          <rPr>
            <b/>
            <sz val="9"/>
            <color indexed="81"/>
            <rFont val="Tahoma"/>
            <family val="2"/>
          </rPr>
          <t xml:space="preserve">Michael Schöggl:
</t>
        </r>
        <r>
          <rPr>
            <sz val="9"/>
            <color indexed="81"/>
            <rFont val="Tahoma"/>
            <family val="2"/>
          </rPr>
          <t xml:space="preserve">
</t>
        </r>
        <r>
          <rPr>
            <b/>
            <sz val="9"/>
            <color indexed="81"/>
            <rFont val="Tahoma"/>
            <family val="2"/>
          </rPr>
          <t>Um wieviel Prozent der aktuellen Userzahl steigen die neuen User durch Medienberichte pro Monat?</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mehr Partner haben wir und umso stärker kommen wir automatisch ins Gespräch oder rücken in die Öffentlichkeit. 
- Vor allem Drittanbieter und VR-Shops sind von uns abhängig, wenn sie für die eigenen Angebote werben wollen, müssen sie indirekt auch für uns werben. Denn kaum ein User lädt eine eigene App herunter, um z.B. im VR-Shop eines regionalen Unternehmens (das er nicht einmal kennt) virtuell einkaufen gehen zu können.
- Ein Wachstum von 0,4 % pro Monat entspricht knapp 5 % Wachstum der gesamten Userzahl pro Jahr aufgrund der indirekten Werbung unserer Partner.
- Wenn Drittanbieter Inhalte anbieten (z.B. virtuelle Haustiere oder alternative VR-Szenen wie das Piratenschiff aus Fluch der Karibik), die sich nur in Verbindung mit connect verwenden lassen (was wir durch Exklusiv-Verträge steigern können), dann muss sich jeder, der diese Inhalte will, zuvor connect holen.</t>
        </r>
      </text>
    </comment>
    <comment ref="A8"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Für eine realistische Einschätzung der Userzahlen-Entwicklung müssen wir von einer Sättigung der Zielgruppe ausgehen, bzw. von einer Zielgruppen-Obergrenze. </t>
        </r>
        <r>
          <rPr>
            <sz val="9"/>
            <color indexed="81"/>
            <rFont val="Tahoma"/>
            <family val="2"/>
          </rPr>
          <t xml:space="preserve">
</t>
        </r>
        <r>
          <rPr>
            <u/>
            <sz val="9"/>
            <color indexed="81"/>
            <rFont val="Tahoma"/>
            <family val="2"/>
          </rPr>
          <t>Wir verwenden 2 Werte</t>
        </r>
        <r>
          <rPr>
            <sz val="9"/>
            <color indexed="81"/>
            <rFont val="Tahoma"/>
            <family val="2"/>
          </rPr>
          <t xml:space="preserve">:
- maximale Zielgruppe bis Ende 2020: Primär VR-User (und Gamer für die 3D-Nutzung), weil sich unser Marketing auf diese Zielgruppe konzentriert; natürlich können wir aber auch darüber hinaus Menschen ansprechen.
- maximale Zielgruppe ab 2021: Alle Social Media bzw. Network und Messenger Nutzer, jedoch nur jene, für die connect - auch OHNE den virtuellen Raum - einen ausreichend großen Mehrwert bietet (Multi-Messenger, Datenschutz, Multimedia, Geräteunabhängigkeit, etc.), schließlich haben wir Konkurrenz und unser Produkt wird selbst dann, wenn wir alles individualisierbar machen und verschiedene Versionen rausbringen, niemals alle Menschen ansprechen können
</t>
        </r>
        <r>
          <rPr>
            <u/>
            <sz val="9"/>
            <color indexed="81"/>
            <rFont val="Tahoma"/>
            <family val="2"/>
          </rPr>
          <t>Erklärung zu den Auswirkungen dieser Werte</t>
        </r>
        <r>
          <rPr>
            <sz val="9"/>
            <color indexed="81"/>
            <rFont val="Tahoma"/>
            <family val="2"/>
          </rPr>
          <t xml:space="preserve">:
- Die Berechnung erfolgt so, dass je stärker sich unsere Userzahlen diesen Grenzwerten nähern, die Akquise neuer User umso unwahrscheinlicher wird.
- Bei 0 Usern und einer Grenze von 300, ist die Akquise-Rate bei 100%. 
- Bei 200 Usern und einer Grenze von 300, ist sie nur noch bei 0,33%.
- Alle Wachstumswerte (bis auf die negativen Absprünge, siehe 1.11) sind von diesem Multiplikator betroffen und sinken entsprechend der Annäherung zur Zielgruppen-Obergrenze immer stärker Richtung 0.
- Diese Berechnungen sind absichtlich sehr vorsichtig und limitierend. Eigentlich wächst der VR Markt laut Prognosen stark an und genau genommen könnten wir langfristig durchaus 2 Milliarden Menschen, bzw. bereits 2021 eine Zielgruppe abseits der VR-User erreichen. Aber unsere Werte sind zu gut um glaubwürdig zu sein, wenn sie nicht mit so einer Obergrenze gebremst werden, daher dieses Korrektiv.
</t>
        </r>
      </text>
    </comment>
    <comment ref="B8" authorId="0">
      <text>
        <r>
          <rPr>
            <b/>
            <sz val="9"/>
            <color indexed="81"/>
            <rFont val="Tahoma"/>
            <family val="2"/>
          </rPr>
          <t xml:space="preserve">Michael Schöggl:
Wie groß ist unsere </t>
        </r>
        <r>
          <rPr>
            <b/>
            <i/>
            <sz val="9"/>
            <color indexed="81"/>
            <rFont val="Tahoma"/>
            <family val="2"/>
          </rPr>
          <t>primäre</t>
        </r>
        <r>
          <rPr>
            <b/>
            <sz val="9"/>
            <color indexed="81"/>
            <rFont val="Tahoma"/>
            <family val="2"/>
          </rPr>
          <t xml:space="preserve"> Zielgruppe, die wir bis Ende 2020 erreichen können? - </t>
        </r>
        <r>
          <rPr>
            <b/>
            <u/>
            <sz val="9"/>
            <color indexed="81"/>
            <rFont val="Tahoma"/>
            <family val="2"/>
          </rPr>
          <t>Bezogen auf Werbezugänge und Medienberichte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Zu Beginn Fokus auf VR-User, weil wir diesen den größten Mehrwert bieten und Gamer eine sehr dankbare, zahlkräftige Zielgruppe sind. 2019 sind das mindestens 10 Millionen User weltweit, die wir über unsere aktuell unterstützten Geräte (Android, HTC Vive, Oculus) und Plattformen (Play Store und Steam) erreichen können.
- Bis Mitte 2020: Fertigstellung der "connect Basic"-Version, d.h. einer nativen Android und iOS Version von connect, die dieselben Funktionen umfasst, aber in einem simplen 2D-Design (vlg. WhatsApp und Co). Diese Version unterstützt dann wirklich alle Smartphones und läuft genauso schnell, wie WhatsApp und Co, mit Fokus auf Multi-Messenger, Multimedia und Verschlüsselung zielt sie auf den konservativeren, weniger verspielten Massenmarkt ab, bis VR sich endgültig durchgesetzt hat.
- Bis Mitte 2020: Fertigstellung der PlayStation-Version und der iOS-Version.
- Bis Ende 2020: Fertigstellung des Multi-Messengers für alle Geräte (inklusive PlayStation und iOS) und alle größeren Netzwerke (u.a. zusätzlich WhatsApp, WeChat, Snapchat, Skype, Twitter, Instagram etc.). 
- Ab 2021 Fokus auf neue Zielgruppe: alle Social Network / Messenger-User weltweit; bis dahin haben wir genug Funktionen (z.B. Multi-Messenger) und Inhalte (z.B. Medien-Inhalte der Partner) um auch den Massenmarkt anzusprechen. Unsere bisherigen VR-/3D-User werden als treue Fans zu Mundpropaganda motiviert (siehe 1.7 bis 1.9).
</t>
        </r>
      </text>
    </comment>
    <comment ref="C8" authorId="0">
      <text>
        <r>
          <rPr>
            <b/>
            <sz val="9"/>
            <color indexed="81"/>
            <rFont val="Tahoma"/>
            <family val="2"/>
          </rPr>
          <t>Michael Schöggl:</t>
        </r>
        <r>
          <rPr>
            <sz val="9"/>
            <color indexed="81"/>
            <rFont val="Tahoma"/>
            <family val="2"/>
          </rPr>
          <t xml:space="preserve">
</t>
        </r>
        <r>
          <rPr>
            <b/>
            <sz val="9"/>
            <color indexed="81"/>
            <rFont val="Tahoma"/>
            <family val="2"/>
          </rPr>
          <t xml:space="preserve">
Wie groß ist unsere </t>
        </r>
        <r>
          <rPr>
            <b/>
            <i/>
            <sz val="9"/>
            <color indexed="81"/>
            <rFont val="Tahoma"/>
            <family val="2"/>
          </rPr>
          <t>primäre</t>
        </r>
        <r>
          <rPr>
            <b/>
            <sz val="9"/>
            <color indexed="81"/>
            <rFont val="Tahoma"/>
            <family val="2"/>
          </rPr>
          <t xml:space="preserve"> Zielgruppe, die wir ab 2020 erreichen können? - </t>
        </r>
        <r>
          <rPr>
            <b/>
            <u/>
            <sz val="9"/>
            <color indexed="81"/>
            <rFont val="Tahoma"/>
            <family val="2"/>
          </rPr>
          <t>Bezogen auf Werbezugänge und Medienberichte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Das internationale Interesse an Social Networks, Social Media, Messenger, VR, neuen Technologien und Apps ist sehr groß, gerade auch was Medienberichte oder die organische Suche im App-Store etc. betrifft. Daher sollte hier genügend "Luft nach oben" für unsere Werbezugänge 1.1 bis 1.4 sein. 
- Wir können langfristig fast allen Medien (Video, Audio, Print, Internet, VR - für praktisch jedes Thema) durch unseren VR-Zugang - bzw. die klassische 2D-Anzeige in einer Multimedia-App - etwas bieten und sie daher auch zur Berichterstattung motivieren.
- Trotzdem werden die Werte realistischer, wenn wir eine Obergrenze von rund 300 Millionen festlegen, da dies ungefähr die Anzahl der Menschen ist, denen connect einen ausreichend großen Mehrwert bietet und die wir mit unserem Design und unseren Funktionen ansprechen. 
- Diese "Bremse" ist aber eigentlich nicht notwendig, denn mit neuen Versionen (z.B. ohne 3D, als klassische 2D-Variante), mehr unterstützten Geräten, maximaler Individualisierbarkeit und zukünftigen, neuen, noch nicht beschriebenen Funktionen können wir unsere Zielgruppe bestimmt schneller weitern, als wir wachsen.</t>
        </r>
      </text>
    </comment>
    <comment ref="J8" authorId="0">
      <text>
        <r>
          <rPr>
            <b/>
            <sz val="9"/>
            <color indexed="81"/>
            <rFont val="Tahoma"/>
            <family val="2"/>
          </rPr>
          <t xml:space="preserve">Michael Schöggl:
</t>
        </r>
        <r>
          <rPr>
            <sz val="9"/>
            <color indexed="81"/>
            <rFont val="Tahoma"/>
            <family val="2"/>
          </rPr>
          <t xml:space="preserve">
Summe neue User durch 1.1 bis 1.4 </t>
        </r>
        <r>
          <rPr>
            <u/>
            <sz val="9"/>
            <color indexed="81"/>
            <rFont val="Tahoma"/>
            <family val="2"/>
          </rPr>
          <t>pro Jahr</t>
        </r>
        <r>
          <rPr>
            <sz val="9"/>
            <color indexed="81"/>
            <rFont val="Tahoma"/>
            <family val="2"/>
          </rPr>
          <t>. Die Werte links davon sind pro Monat und nicht pro Quartal, das hier ist also nicht die Summe der Werte links, sondern das Jahresergebnis.</t>
        </r>
      </text>
    </comment>
    <comment ref="A9" authorId="1">
      <text>
        <r>
          <rPr>
            <b/>
            <sz val="9"/>
            <color indexed="81"/>
            <rFont val="Tahoma"/>
            <family val="2"/>
          </rPr>
          <t xml:space="preserve">e.com:
</t>
        </r>
        <r>
          <rPr>
            <sz val="9"/>
            <color indexed="81"/>
            <rFont val="Tahoma"/>
            <family val="2"/>
          </rPr>
          <t xml:space="preserve">
- Ab Mitte 2020 - wenn connect fertiggestellt ist und seinen versprochenen Mehrwert als geräteunabhängiger Multimessenger, als Multimedia-Zentrum und als VR- bzw. Spiel-Erlebnis beweist - wird auch die Mundpropaganda stark ansteigen. 
- Zu diesem Zeitpunkt wird VR auch ein Trend mit steigendem medialen Interesse sein (u.a. wegen der Offensiven vieler großer Unternehmen und Steven Spielbergs Verfilmung von Ready Player One - das wie eine Vorwegnahme von connect wirkt), was uns in die Hände spielt. 
- Wir rechnen damit, dass jeder User im Laufe eines Jahres im Schnitt genügend anderen Menschen von connect erzählt hat (die Gelegenheit ergibt sich bei Messengern / Social Networks deutlich öfter, als z.B. bei Medikamenten), dass ein weiterer User dadurch gewonnen werden kann. 
- Das ist eine sehr vorsichtige Schätzung. Viele erste VR-User werden Freunden diese neue virtuelle Welt mit Start in connect zeigen (u.a. weil wir eine sehr beeindruckende Grafik und viel Interaktivität und Invididualisierbarkeit haben und jeder gerne zeigt, was er sich "Besonderes" zusammengebaut bzw. erworben hat (z.B. sehr seltene virtuelle Haustiere mit besonderen Kunststücken)).
- Auch der Vergleich mit anderen innovativen Netzwerken wie z.B. Facebook, Twitter oder Instagram zeigt, dass allein durch Mundpropaganda ein Netzwerk auch viel schneller wachsen kann, als in unserer Schätzung. Facebook und Co haben in den ersten Jahren ihre Userzahlen verfünffacht (hier wurden die Absprünge bereits abgezogen) - davon sind unsere Schätzwerte fast um den Faktor 10 entfernt.
- connect ist sehr visuell, lässt sich großartig präsentieren, ist ein Trend-Thema, ein Thema, das fast jeden Menschen betrifft oder zumindest Gesprächsstoff gibt (wenngleich auch negativ, um über diese virtuelle Welten zu schimpfen). 
- Wir werden alles tun, um Usern gute Gründe zu geben, connect herzuzeigen, das ist einer der wichtigsten Foki unserer Entwicklung und dieser zeigt sich auch in den nachfolgenden "Marketing-Tricks", mit denen wir die Mundpropaganda nochmals gezielt anheizen und belohnen können (siehe 1.6 bis 1.9 - als Beispiele). </t>
        </r>
      </text>
    </comment>
    <comment ref="B9" authorId="0">
      <text>
        <r>
          <rPr>
            <b/>
            <sz val="9"/>
            <color indexed="81"/>
            <rFont val="Tahoma"/>
            <family val="2"/>
          </rPr>
          <t>Michael Schöggl:</t>
        </r>
        <r>
          <rPr>
            <sz val="9"/>
            <color indexed="81"/>
            <rFont val="Tahoma"/>
            <family val="2"/>
          </rPr>
          <t xml:space="preserve">
</t>
        </r>
        <r>
          <rPr>
            <b/>
            <sz val="9"/>
            <color indexed="81"/>
            <rFont val="Tahoma"/>
            <family val="2"/>
          </rPr>
          <t>Um wieviel Prozent pro Monat wächst unsere Userzahl allein durch Mundpropaganda?</t>
        </r>
        <r>
          <rPr>
            <sz val="9"/>
            <color indexed="81"/>
            <rFont val="Tahoma"/>
            <family val="2"/>
          </rPr>
          <t xml:space="preserve">
</t>
        </r>
        <r>
          <rPr>
            <u/>
            <sz val="9"/>
            <color indexed="81"/>
            <rFont val="Tahoma"/>
            <family val="2"/>
          </rPr>
          <t>Begründung für diesen Wert:</t>
        </r>
        <r>
          <rPr>
            <sz val="9"/>
            <color indexed="81"/>
            <rFont val="Tahoma"/>
            <family val="2"/>
          </rPr>
          <t xml:space="preserve">
- connect spricht eine sehr breite Zielgruppe an, weil es jedes Gerät unterstützt, in 2D, 3D oder VR verwendbar ist und klassische menschliche Grundbedürfnisse (Erhöhung des Sozialstatus, Unterhaltung, Kommunikation, Anerkennung, Aufmerksamkeit, Kontrolle, Sicherheit etc.) befriedigt. Darauf liegt unser Fokus, siehe Businessplan. 
- connect ist neuartig und technisch modern genug, um ein spannendes Thema im Freundeskreis zu sein. Es hebt sich komplett von anderen Netzwerken ab und Menschen zeigen gerne Neuheiten her, anstatt bereits bekannte oder vertraute Dinge.
- Das Interesse an VR wird in den nächsten Monaten mit immer besserer Hardware weiter zunehmen, wir wachsen hier mit. Der gedankliche und damit auch sprachliche Sprung von VR zum virtuellen Zuhause ist nicht weit, zumal wir auch ein Netzwerk für alle VR-Inhalte aufbauen wollen.
- Ein virtuelles Zuhause, virtuelle Haustiere und ein möglichst realistisches VR-Erlebnis sind Themen, die viele Menschen bewegen.
- In connect baut sich der User seine eigene Welt auf und "investiert" in die Erhöhung seines Sozialstatus durch limitierte, besondere Inhalte. Diese will er seinen Freunden zeigen, er will damit angeben.
- Ein Wert von ca. 6 % würde bedeuten, dass im Laufe eines Jahres ein connect User einen weiteren Menschen durch Mundpropaganda für uns gewinnen konnte. Das ist sehr realistisch, weil unsere User viel Zeit in connect verbringen werden (für Spiele, virtuelle Haustiere, Kommunikation, Multimedia und VR-Erlebnisse). Je bedeutsamer connect für die User wird (durch z.B. exklusive Inhalte), umso mehr werden sie es anderen zeigen.</t>
        </r>
      </text>
    </comment>
    <comment ref="C9"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Prozent pro Quartal sinkt/steigt das monatliche Wachstum durch Mundpropaganda?</t>
        </r>
        <r>
          <rPr>
            <sz val="9"/>
            <color indexed="81"/>
            <rFont val="Tahoma"/>
            <family val="2"/>
          </rPr>
          <t xml:space="preserve">
</t>
        </r>
        <r>
          <rPr>
            <u/>
            <sz val="9"/>
            <color indexed="81"/>
            <rFont val="Tahoma"/>
            <family val="2"/>
          </rPr>
          <t>Begründung für diesen Wert:</t>
        </r>
        <r>
          <rPr>
            <sz val="9"/>
            <color indexed="81"/>
            <rFont val="Tahoma"/>
            <family val="2"/>
          </rPr>
          <t xml:space="preserve">
- Umso mehr connect zu bieten hat, umso wahrscheinlicher werden unsere User es ihren Freunden zeigen - und viele besondere Funktionen (z.B. Zugang zu VR-Shops, Avatare, ganze VR-Welten, komplett neue Szenen, neue VR-Haustiere, etc.) werden erst nach und nach hinzukommen, u.a. durch Drittanbieter oder (Medien-)Partner.
- Je größer connect wird, umso "sicherer" fühlen sich Menschen darin, es anderen zu zeigen. Keiner will riskieren, etwas toll zu finden, was unbekannt ist und damit so wirkt, als würde es kaum jemandem gefallen (außer es ist offensichtlich ein Geheimtipp und noch ganz neu). 
- Viele Themen in connect - z.B. VR - sind Trends, die in den nächsten Monaten ansteigen werden.</t>
        </r>
      </text>
    </comment>
    <comment ref="A10" authorId="1">
      <text>
        <r>
          <rPr>
            <b/>
            <sz val="9"/>
            <color indexed="81"/>
            <rFont val="Tahoma"/>
            <family val="2"/>
          </rPr>
          <t xml:space="preserve">e.com
- </t>
        </r>
        <r>
          <rPr>
            <sz val="9"/>
            <color indexed="81"/>
            <rFont val="Tahoma"/>
            <family val="2"/>
          </rPr>
          <t xml:space="preserve">Von connect aus lassen sich bereits jetzt SMS und Faceboo-Nachrichten lesen und schreiben, Mails sind fast abgeschlossen, viele weitere, andere Netzwerke werden in rascher Abfolge (ca. ein Netzwerk pro Monat zu rund 10.000 Euro kosten) folgen. 
- Immer, wenn unsere User den Multimessenger verwenden, um Nachrichten zu schreiben oder Fotos, Videos, Sprachaufzeichnungen, eigenen connect-Sticker, connect-Emoties oder ähnliches in andere Netzwerke zu schicken, wird bei der ersten Nachricht der Anhang "send by connect" andere Menschen auf unser Netzwerk aufmerksam machen. 
- Unser User werden aber auch die geposteten Fotos ihrer Freunde an den Wänden ihres virtuellen Zuhause angezeigt bekommen, die Videos in einem eigenen "Freunde-Video-Kanal" am virtuellen Fernseher und ähnliches. Umgekehrt genauso - die Inhalte aus connect kann man allesamt in andere Netzwerke teilen, z.B. die Links zu Medieninhalten, Screenshots oder Videos (auch in 360 Grad), exklusive Inhalte (wie Haustiere, Spiele, Deko, alternative Szenen etc.). 
- Somit werden connect-fremde Menschen auf unser Netzwerk aufmerksam gemacht, ohne das dies Kosten verursachen würde. 
- Wir rechnen daher selbst bei vorsichtigster Schätzung, dass pro aktivem User im Laufe eines Jahres ein weiterer dazu kommt. Mit etwas "Glück" (richtiges Thema zum richtigen Zeitpunkt, etc.) könnte jeder User sogar hunderte Freunde auf connect aufmerksam machen, indem er ganz einfach connect-Inhalte (wie z.B. 360-Grad-Videos) z.B. auf Facebook teilt. 
- Punkt 1.6 beschreibt, dass wir dieses für uns nützliche Verhalten gezielt fördern und belohnen werden (z.B. durch Wettbewerbe), um diesen kostenlosen Zugang maximal auszunutzen. Wie schnell ein Thema viral werden kann und um die ganze Welt geht, haben genügend andere bewiesen - unser Ziel ist es, diese Mechanismen so gut wie möglich zu kopieren und automatisieren. 
- Der Multimessenger ist hierbei so nützlich, dass fast jeder User ihn immer wieder verwenden wird, selbst, wenn er ansonsten sich mit Postings etc. eher zurückhält. </t>
        </r>
      </text>
    </comment>
    <comment ref="B10" authorId="0">
      <text>
        <r>
          <rPr>
            <b/>
            <sz val="9"/>
            <color indexed="81"/>
            <rFont val="Tahoma"/>
            <family val="2"/>
          </rPr>
          <t>Michael Schöggl:</t>
        </r>
        <r>
          <rPr>
            <sz val="9"/>
            <color indexed="81"/>
            <rFont val="Tahoma"/>
            <family val="2"/>
          </rPr>
          <t xml:space="preserve">
</t>
        </r>
        <r>
          <rPr>
            <b/>
            <sz val="9"/>
            <color indexed="81"/>
            <rFont val="Tahoma"/>
            <family val="2"/>
          </rPr>
          <t>Um wieviel Prozent pro Monat steigt die Anzahl unserer User durch unseren Multimessenger-Anhang "sent by connect"?</t>
        </r>
        <r>
          <rPr>
            <sz val="9"/>
            <color indexed="81"/>
            <rFont val="Tahoma"/>
            <family val="2"/>
          </rPr>
          <t xml:space="preserve">
</t>
        </r>
        <r>
          <rPr>
            <u/>
            <sz val="9"/>
            <color indexed="81"/>
            <rFont val="Tahoma"/>
            <family val="2"/>
          </rPr>
          <t>Begründung für diesen Wert:</t>
        </r>
        <r>
          <rPr>
            <sz val="9"/>
            <color indexed="81"/>
            <rFont val="Tahoma"/>
            <family val="2"/>
          </rPr>
          <t xml:space="preserve">
- Dieser Zugang bezieht sich nicht nur auf den Text-Anhang "sent by connect" sondern ganz speziell auch darauf, dass unsere User z.B. connect-Inhalte wie dessen Sticker, Screenshots, Medien-Inhalte etc. in andere Netzwerke wie z.B. Facebook schicken können. Je "verknüpfter" connect ist, umso mehr Aufsehen wird jeder User automatisch in anderen Netzwerken durch die Verwendung erregen.
- Ein Wert von 8,4 % würde bedeuten, dass ein durchschnittlicher connect-User einen weiteren User pro Jahr anlockt, weil er hunderte Nicht-connect-Kontakte monatlich anschreibt (z.B. per Mail, SMS oder FB-Nachricht) und dabei einer neugierig genug wird, um connect selbst auszuprobieren (z.B. aufgrund der Info des connect-Users, dass er mit diesem Multi-Messenger Nachrichten in verschiedene Netzwerke schicken kann oder aufgrund der tollen Sticker, Screenshots (z.B. vom virtuellen Haustier) oder ähnliches).
- Die beste Werbung ist und bleibt persönliche Empfehlung und diese stoßen wir dadurch an, dass der Empfänger einer "sent by connect" Nachricht - vor allem, wenn er von verschiedenen Freunden über verschiedene Netzwerke solche Nachrichten bekommt - irgendwann nachfragen wird, worum es sich hierbei handelt. Und der Sender wird dann - um seinen Selbstwert zu wahren und seine Entscheidung zu rechtfertigen - auch connect positiv beschreiben und z.B. auf den Mehrwert des Multi-Messengers hinweisen. "Was du kennst connect nicht? Lebst du hinterm Mond?"</t>
        </r>
      </text>
    </comment>
    <comment ref="C10"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Prozent pro Quartal sinkt/steigt die monatliche Wachstumsrate von connect durch den Multi-Messenger-Anhang "sent by connect" oder die verschickten Inhalte?</t>
        </r>
        <r>
          <rPr>
            <sz val="9"/>
            <color indexed="81"/>
            <rFont val="Tahoma"/>
            <family val="2"/>
          </rPr>
          <t xml:space="preserve">
</t>
        </r>
        <r>
          <rPr>
            <u/>
            <sz val="9"/>
            <color indexed="81"/>
            <rFont val="Tahoma"/>
            <family val="2"/>
          </rPr>
          <t>Begründung für diesen Wert:</t>
        </r>
        <r>
          <rPr>
            <sz val="9"/>
            <color indexed="81"/>
            <rFont val="Tahoma"/>
            <family val="2"/>
          </rPr>
          <t xml:space="preserve">
- Wenn ein User regelmäßig durch die Nachrichten seiner Freunde auf connect aufmerksam gemacht wird, dann kennt er diesen Anhang bereits und somit auch connect. Je später dieser Werbezugang kommt, umso wahrscheinlicher hat der Empfänger bereits Bekanntschaft gemacht und einfach kein Interesse an connect - weshalb dieser Wert negativ ist, der Werbeeffekt also nachlässt. 
- Gegenzurechnen ist, dass unser Multi-Messenger immer mehr andere Netzwerke integrieren wird und damit auch Menschen aus neuen Netzwerken erreicht. Außerdem werden unsere User immer mehr Inhalte über den Multi-Messenger in andere Netzwerke schicken können. Trotzdem: Vorsichtig gedacht wird der Effekt eher rückläufig sein, als anzuwachsen. </t>
        </r>
      </text>
    </comment>
    <comment ref="A11" authorId="1">
      <text>
        <r>
          <rPr>
            <b/>
            <sz val="9"/>
            <color indexed="81"/>
            <rFont val="Tahoma"/>
            <family val="2"/>
          </rPr>
          <t xml:space="preserve">e.com:
</t>
        </r>
        <r>
          <rPr>
            <sz val="9"/>
            <color indexed="81"/>
            <rFont val="Tahoma"/>
            <family val="2"/>
          </rPr>
          <t xml:space="preserve">
- Das Bedürfnis vieler Menschen etwas besonderes zu besitzen oder (virtuelle) Erfolge (z.B. in Spielen) zu erzielen, bzw. ihren Status durch limitierte Besitztümer zu erhöhen, ist - wie Vergleiche mit der ganzen Spielebranche zeigen - gewaltig. 
- Auch innerhalb der connect-User wird es einen großen Anteil jener Nutzer geben, die sich durch limitierte Belohnungen mit Prestige-Wert (z.B. Pokale mit Namensgravur, extrem seltene virtuelle Haustiere, die sich verkaufen, züchten oder tauschen lassen, alternative virtuelle Wohnräume wie das Oval Office oder besondere Deko-Objekte, etc.) dazu motivieren lassen werden, im Zuge eines Wettbewerbs, einer "täglichen Quest", eines "Erfolges", etc. Verhalten zu zeigen, das uns bekannter macht. 
- Bei einem Wettbewerb könnten z.B. die besten 360-Grad-Videos aus dem virtuellen Zuhause (meiste Likes auf FB), die ausgefallenste Individualisierung (z.B. mit eigenen Fotos als Textur, wodurch man z.B. den Boden mit den Gesichtern der Freunde zupflastern kann) oder sogar selbst erstellte neue und öffentlich geteilte Inhalte wie Schriftarten, Klingeltöne, künstlerische Bilder für die virtuelle Wand, Haustier-Fell-Skins oder ähnliches mit Titeln, virtuellen Belohnungen oder "Adjektiven" honoriert werden. 
- Wir bauen dadurch eine Online-Community auf, die auf connect aufmerksam macht, z.B. ganz direkt durch tausende YouTube-Videos. Kürzlich hat ein indonesischer Sänger bei einem Wettbewerb für die 3 besten Cover-Songs innerhalb einer Woche einen Gewinn von 7000 Euro versprochen - und nur wenige Tage später gab es mehrere tausend Covers von ihm. Unsere Belohnungen werden durch die Rarität für manche User einen enormen Wert haben, ohne für uns relevante Kosten dazustellen. </t>
        </r>
      </text>
    </comment>
    <comment ref="A12" authorId="1">
      <text>
        <r>
          <rPr>
            <b/>
            <sz val="9"/>
            <color indexed="81"/>
            <rFont val="Tahoma"/>
            <family val="2"/>
          </rPr>
          <t xml:space="preserve">e.com:
</t>
        </r>
        <r>
          <rPr>
            <sz val="9"/>
            <color indexed="81"/>
            <rFont val="Tahoma"/>
            <family val="2"/>
          </rPr>
          <t xml:space="preserve">
- Wir werden ganz direkt das Teilen unserer Werbevideos auf Facebook und Co, sowie das Werben von Freunden mit stark limitierten virtuellen Besitztümern belohnen. 
- Diese sind nur eine bestimmte Zeit lang verfügbar (z.B. einen Monat), danach gibt es eine neue Belohnung, um denselben User zu motivieren, einen weiteren Freund anzuwerben. 
- Diese Belohnungen sind tauschbar, verkaufbar und könnten auch "sammelbare" Sets bilden (z.B. das Haustier "Eulenbaby" in den verschiedensten Farben/Fellen, damit der Aufwand für uns minimal ist). 
- Jede zu offensichtliche oder offensive Werbung kann sich auch negativ auf das Image auswirken, daher ist dieser Zugang nur eine weitere Möglichkeit, wenn die anderen Wege nicht erfolgreich genug sein sollten. </t>
        </r>
      </text>
    </comment>
    <comment ref="A13" authorId="1">
      <text>
        <r>
          <rPr>
            <b/>
            <sz val="9"/>
            <color indexed="81"/>
            <rFont val="Tahoma"/>
            <family val="2"/>
          </rPr>
          <t xml:space="preserve">e.com:
</t>
        </r>
        <r>
          <rPr>
            <sz val="9"/>
            <color indexed="81"/>
            <rFont val="Tahoma"/>
            <family val="2"/>
          </rPr>
          <t xml:space="preserve">
- Wir haben ganz bewusst viele Inhalte in connect geschaffen, die dafür sorgen, dass unsere User in der Öffentlichkeit auffallen werden.
- U.a. sind das realistische Klingeltöne (Münze fällt, Dose öffnen, Schluckauf, Gelsensurren, etc.), die z.B. auf öffentlichen Plätzen oder in den öffentlichen Verkehrsmitteln Aufmerksamkeit erregen. 
- Auch praktisch fertiggestellt ist ein versteckter, virtueller Tresor, der sich durch das Drehen des Smartphones (= Drehen des Drehknaufs) nach vielen Stunden knacken lässt. Manche unserer User werden öffentlich auffallen, gefragt werden und dann (stolz) connect präsentieren. 
- Dieser Zugang kostet uns ebenso wie die bisherigen nur Entwicklungsaufwand und kann mit der Userbasis gewaltig skalieren und schnell für mehr Sichtbarkeit sorgen.
- Es gibt noch rund 5 weitere Tricks, die nun nicht alle aufgezählt werden sollen. 
- Wir wollen es so schwer wie möglich machen, connect zu nutzen, ohne dass regelmäßig andere Menschen darauf aufmerksam werden.
- Fast alle dieser Tricks und Zugänge sowie der Belohnungen sind bereits fertig oder kurz vor Fertigstellung, ihr Effekt wird uns aber kontinuierlich neue User ohne weitere Kosten bringen.</t>
        </r>
      </text>
    </comment>
    <comment ref="A14" authorId="0">
      <text>
        <r>
          <rPr>
            <b/>
            <sz val="9"/>
            <color indexed="81"/>
            <rFont val="Tahoma"/>
            <family val="2"/>
          </rPr>
          <t xml:space="preserve">Michael Schöggl:
</t>
        </r>
        <r>
          <rPr>
            <sz val="9"/>
            <color indexed="81"/>
            <rFont val="Tahoma"/>
            <family val="2"/>
          </rPr>
          <t xml:space="preserve">
</t>
        </r>
        <r>
          <rPr>
            <b/>
            <sz val="9"/>
            <color indexed="81"/>
            <rFont val="Tahoma"/>
            <family val="2"/>
          </rPr>
          <t>Für eine realistische Einschätzung der Userzahlen-Entwicklung müssen wir von einer Sättigung der Zielgruppe ausgehen, bzw. von einer Zielgruppen-Obergrenze</t>
        </r>
        <r>
          <rPr>
            <sz val="9"/>
            <color indexed="81"/>
            <rFont val="Tahoma"/>
            <family val="2"/>
          </rPr>
          <t xml:space="preserve">. 
</t>
        </r>
        <r>
          <rPr>
            <b/>
            <sz val="9"/>
            <color indexed="81"/>
            <rFont val="Tahoma"/>
            <family val="2"/>
          </rPr>
          <t>Wir verwenden 2 Werte:</t>
        </r>
        <r>
          <rPr>
            <sz val="9"/>
            <color indexed="81"/>
            <rFont val="Tahoma"/>
            <family val="2"/>
          </rPr>
          <t xml:space="preserve">
- </t>
        </r>
        <r>
          <rPr>
            <u/>
            <sz val="9"/>
            <color indexed="81"/>
            <rFont val="Tahoma"/>
            <family val="2"/>
          </rPr>
          <t>maximale Zielgruppe bis Ende 2020</t>
        </r>
        <r>
          <rPr>
            <sz val="9"/>
            <color indexed="81"/>
            <rFont val="Tahoma"/>
            <family val="2"/>
          </rPr>
          <t xml:space="preserve">: Primär VR-User (und Gamer für die 3D-Nutzung), weil sich unser Marketing auf diese Zielgruppe konzentriert; natürlich können wir aber auch darüber hinaus Menschen ansprechen.
- </t>
        </r>
        <r>
          <rPr>
            <u/>
            <sz val="9"/>
            <color indexed="81"/>
            <rFont val="Tahoma"/>
            <family val="2"/>
          </rPr>
          <t>maximale Zielgruppe ab 2021</t>
        </r>
        <r>
          <rPr>
            <sz val="9"/>
            <color indexed="81"/>
            <rFont val="Tahoma"/>
            <family val="2"/>
          </rPr>
          <t xml:space="preserve">: Alle Social Media bzw. Network und Messenger Nutzer, jedoch nur jene, für die connect - auch OHNE den virtuellen Raum - einen ausreichend großen Mehrwert bietet (Multi-Messenger, Datenschutz, Multimedia, Geräteunabhängigkeit, etc.), schließlich haben wir Konkurrenz und unser Produkt wird selbst dann, wenn wir alles individualisierbar machen und verschiedene Versionen rausbringen, niemals alle Menschen ansprechen können
</t>
        </r>
        <r>
          <rPr>
            <b/>
            <sz val="9"/>
            <color indexed="81"/>
            <rFont val="Tahoma"/>
            <family val="2"/>
          </rPr>
          <t>Erklärung zu den Auswirkungen dieser Werte:</t>
        </r>
        <r>
          <rPr>
            <sz val="9"/>
            <color indexed="81"/>
            <rFont val="Tahoma"/>
            <family val="2"/>
          </rPr>
          <t xml:space="preserve">
- Die Berechnung erfolgt so, dass je stärker sich unsere Userzahlen diesen Grenzwerten nähern, die Akquise neuer User umso unwahrscheinlicher wird.
- Bei 0 Usern und einer Grenze von 300, ist die Akquise-Rate bei 100%. 
- Bei 200 Usern und einer Grenze von 300, ist sie nur noch bei 0,33%.
- Alle Wachstumswerte (bis auf die negativen Absprünge, siehe 1.11) sind von diesem Multiplikator betroffen und sinken entsprechend der Annäherung zur Zielgruppen-Obergrenze immer stärker Richtung 0.</t>
        </r>
      </text>
    </comment>
    <comment ref="B14" authorId="0">
      <text>
        <r>
          <rPr>
            <b/>
            <sz val="9"/>
            <color indexed="81"/>
            <rFont val="Tahoma"/>
            <family val="2"/>
          </rPr>
          <t xml:space="preserve">Michael Schöggl:
Wie groß ist unsere </t>
        </r>
        <r>
          <rPr>
            <b/>
            <i/>
            <sz val="9"/>
            <color indexed="81"/>
            <rFont val="Tahoma"/>
            <family val="2"/>
          </rPr>
          <t>primäre</t>
        </r>
        <r>
          <rPr>
            <b/>
            <sz val="9"/>
            <color indexed="81"/>
            <rFont val="Tahoma"/>
            <family val="2"/>
          </rPr>
          <t xml:space="preserve"> Zielgruppe, die wir bis Ende 2020 erreichen können? - </t>
        </r>
        <r>
          <rPr>
            <b/>
            <u/>
            <sz val="9"/>
            <color indexed="81"/>
            <rFont val="Tahoma"/>
            <family val="2"/>
          </rPr>
          <t>Bezogen auf Viral-Marketing-Zugänge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Zu Beginn Fokus auf VR-User, weil wir diesen den größten Mehrwert bieten und Gamer eine sehr dankbare, zahlkräftige Zielgruppe sind. 2019 sind das mindestens 10 Millionen User weltweit, die wir über unsere aktuell unterstützten Geräte (Android, HTC Vive, Oculus) und Plattformen (Play Store und Steam) erreichen können.
- Bis Mitte 2020: Fertigstellung der "connect Basic"-Version, d.h. einer nativen Android und iOS Version von connect, die dieselben Funktionen umfasst, aber in einem simplen 2D-Design (vlg. WhatsApp und Co). Diese Version unterstützt dann wirklich alle Smartphones und läuft genauso schnell, wie WhatsApp und Co, mit Fokus auf Multi-Messenger, Multimedia und Verschlüsselung zielt sie auf den konservativeren, weniger verspielten Massenmarkt ab, bis VR sich endgültig durchgesetzt hat.
- Bis Mitte 2020: Fertigstellung der PlayStation-Version und der iOS-Version.
- Bis Ende 2020: Fertigstellung des Multi-Messengers für alle Geräte (inklusive PlayStation und iOS) und alle größeren Netzwerke (u.a. zusätzlich WhatsApp, WeChat, Snapchat, Skype, Twitter, Instagram etc.). 
- Ab 2021 Fokus auf neue Zielgruppe: alle Social Network / Messenger-User weltweit; bis dahin haben wir genug Funktionen (z.B. Multi-Messenger) und Inhalte (z.B. Medien-Inhalte der Partner) um auch den Massenmarkt anzusprechen. Unsere bisherigen VR-/3D-User werden als treue Fans zu Mundpropaganda motiviert (siehe 1.7 bis 1.9).
</t>
        </r>
      </text>
    </comment>
    <comment ref="C14" authorId="0">
      <text>
        <r>
          <rPr>
            <b/>
            <sz val="9"/>
            <color indexed="81"/>
            <rFont val="Tahoma"/>
            <family val="2"/>
          </rPr>
          <t>Michael Schöggl:</t>
        </r>
        <r>
          <rPr>
            <sz val="9"/>
            <color indexed="81"/>
            <rFont val="Tahoma"/>
            <family val="2"/>
          </rPr>
          <t xml:space="preserve">
</t>
        </r>
        <r>
          <rPr>
            <b/>
            <sz val="9"/>
            <color indexed="81"/>
            <rFont val="Tahoma"/>
            <family val="2"/>
          </rPr>
          <t xml:space="preserve">
Wie groß ist unsere </t>
        </r>
        <r>
          <rPr>
            <b/>
            <i/>
            <sz val="9"/>
            <color indexed="81"/>
            <rFont val="Tahoma"/>
            <family val="2"/>
          </rPr>
          <t>primäre</t>
        </r>
        <r>
          <rPr>
            <b/>
            <sz val="9"/>
            <color indexed="81"/>
            <rFont val="Tahoma"/>
            <family val="2"/>
          </rPr>
          <t xml:space="preserve"> Zielgruppe (Multi-Messenger, Social Network, Multimedia), die wir ab 2020 erreichen können? - </t>
        </r>
        <r>
          <rPr>
            <b/>
            <u/>
            <sz val="9"/>
            <color indexed="81"/>
            <rFont val="Tahoma"/>
            <family val="2"/>
          </rPr>
          <t>Bezogen auf Viral-Marketing-Zugänge</t>
        </r>
        <r>
          <rPr>
            <b/>
            <sz val="9"/>
            <color indexed="81"/>
            <rFont val="Tahoma"/>
            <family val="2"/>
          </rPr>
          <t xml:space="preserve">
</t>
        </r>
        <r>
          <rPr>
            <u/>
            <sz val="9"/>
            <color indexed="81"/>
            <rFont val="Tahoma"/>
            <family val="2"/>
          </rPr>
          <t>Begründung für diesen Wert</t>
        </r>
        <r>
          <rPr>
            <sz val="9"/>
            <color indexed="81"/>
            <rFont val="Tahoma"/>
            <family val="2"/>
          </rPr>
          <t>: 
- Siehe Kommentar zur Spalte links: Ab 2021 umfasst connect genügend Inhalte, Medien, Funktionen und Geräte-Unterstützungen, sowie eine simple connect Basic Version ohne 3D/VR, um praktisch alle Social Network / Media bzw. Messenger User weltweit anzusprechen.
- Viele User verwenden mehrere Social Networks oder Messenger parallel zueinander, zudem bietet gerade connect mit dem Multi-Messenger den Vorteil, aus einer App heraus alle anderen Netzwerke verwenden/verwalten zu können. Darum gehen wir von einem weltweiten Markt von mindestens 300 Mio Menschen aus, unanhängig davon, wie erfolgreich oder aktiv die Konkurrenz wie z.B. Facebook ist. 
- Gewissermaßen profitieren wir aufgrund unseres Multi-Messengers sogar von mehr Wettbewerbern bzw. dem Erfolg anderer Messenger und Netzwerke - weil dadurch der Wert von unserer Verschlüsselung / Datenschutz und von unserem Multi-Messenger steigt, schließlich nimmt er "Arbeit" ab, all diese Netzwerke (mit unterschiedlichen Apps und unterschiedlichen Geräteabhängigkeiten) zu betreuen.</t>
        </r>
      </text>
    </comment>
    <comment ref="J14" authorId="0">
      <text>
        <r>
          <rPr>
            <b/>
            <sz val="9"/>
            <color indexed="81"/>
            <rFont val="Tahoma"/>
            <family val="2"/>
          </rPr>
          <t>Michael Schöggl:</t>
        </r>
        <r>
          <rPr>
            <sz val="9"/>
            <color indexed="81"/>
            <rFont val="Tahoma"/>
            <family val="2"/>
          </rPr>
          <t xml:space="preserve">
</t>
        </r>
        <r>
          <rPr>
            <b/>
            <sz val="9"/>
            <color indexed="81"/>
            <rFont val="Tahoma"/>
            <family val="2"/>
          </rPr>
          <t>Summe der monatlichen Steigerungsraten für das gesamte Jahr.</t>
        </r>
        <r>
          <rPr>
            <sz val="9"/>
            <color indexed="81"/>
            <rFont val="Tahoma"/>
            <family val="2"/>
          </rPr>
          <t xml:space="preserve"> 
- Die Werte links davon sind pro Monat und nicht pro Quartal, das hier ist also nicht die Summe der Werte links, sondern das Jahresergebnis.
- Diese Werte sind mit Vorsicht zu genießen, die eigentliche Steigerungsrate pro Jahr ist eine andere, als die einfache Summe der monatlichen Steigerungen.</t>
        </r>
      </text>
    </comment>
    <comment ref="A15" authorId="0">
      <text>
        <r>
          <rPr>
            <b/>
            <sz val="9"/>
            <color indexed="81"/>
            <rFont val="Tahoma"/>
            <family val="2"/>
          </rPr>
          <t>Michael Schöggl:</t>
        </r>
        <r>
          <rPr>
            <sz val="9"/>
            <color indexed="81"/>
            <rFont val="Tahoma"/>
            <family val="2"/>
          </rPr>
          <t xml:space="preserve">
Prozentsatz aller bisherigen User, die innerhalb von diesem einen Monat connect für immer verlassen und daher dauerhaft verloren gehen.
</t>
        </r>
        <r>
          <rPr>
            <u/>
            <sz val="9"/>
            <color indexed="81"/>
            <rFont val="Tahoma"/>
            <family val="2"/>
          </rPr>
          <t>Achtung</t>
        </r>
        <r>
          <rPr>
            <sz val="9"/>
            <color indexed="81"/>
            <rFont val="Tahoma"/>
            <family val="2"/>
          </rPr>
          <t>: Diesen Wert nicht zu hoch einschätzen, weil er sich auf jeden einzelnen Monat bezieht und sich schnell kummuliert. Bei einem Wert von 0,1 würden im Laufe eines Jahres z.B. 72% aller User wieder verloren sein (0,9 hoch 12).</t>
        </r>
      </text>
    </comment>
    <comment ref="B15" authorId="0">
      <text>
        <r>
          <rPr>
            <b/>
            <sz val="9"/>
            <color indexed="81"/>
            <rFont val="Tahoma"/>
            <family val="2"/>
          </rPr>
          <t>Michael Schöggl:</t>
        </r>
        <r>
          <rPr>
            <sz val="9"/>
            <color indexed="81"/>
            <rFont val="Tahoma"/>
            <family val="2"/>
          </rPr>
          <t xml:space="preserve">
</t>
        </r>
        <r>
          <rPr>
            <b/>
            <sz val="9"/>
            <color indexed="81"/>
            <rFont val="Tahoma"/>
            <family val="2"/>
          </rPr>
          <t xml:space="preserve">Wieviel Prozent aller bisherigen User verlassen uns pro Monat? </t>
        </r>
        <r>
          <rPr>
            <sz val="9"/>
            <color indexed="81"/>
            <rFont val="Tahoma"/>
            <family val="2"/>
          </rPr>
          <t xml:space="preserve">
</t>
        </r>
        <r>
          <rPr>
            <u/>
            <sz val="9"/>
            <color indexed="81"/>
            <rFont val="Tahoma"/>
            <family val="2"/>
          </rPr>
          <t>Begründung für diesen Wert</t>
        </r>
        <r>
          <rPr>
            <sz val="9"/>
            <color indexed="81"/>
            <rFont val="Tahoma"/>
            <family val="2"/>
          </rPr>
          <t>: 
- Dieser Wert ist von unglaublicher Bedeutung für unseren Erfolg. Wir tun vieles, um ihn so rasch wie möglich maximal zu senken (u.a. durch Individualisierung, Investments, Aufarbeitung von User-Wünschen, ständig neuen Inhalten von Partner bzw. Medien, spielerische, unterhaltsame Zugänge wie virtuelle Haustiere, etc.). 
- Bis Mitte 2020 wird der Wert sehr hoch sein, weil viele versprochene Funktionen noch nicht fertig sind und die Usability aufgrund offener Baustellen noch zu schlecht. Ab Q3 2020 gilt dann der hier eingetragene Wert.
- Solange dieser Wert niedriger ist (wird), als Summe A und B zusammen, wächst connect.</t>
        </r>
      </text>
    </comment>
    <comment ref="C15"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sinkt/steigt der prozentuale Wert, mit dem jeden Monat bisherige User connect für immer verlassen?</t>
        </r>
        <r>
          <rPr>
            <sz val="9"/>
            <color indexed="81"/>
            <rFont val="Tahoma"/>
            <family val="2"/>
          </rPr>
          <t xml:space="preserve">
</t>
        </r>
        <r>
          <rPr>
            <u/>
            <sz val="9"/>
            <color indexed="81"/>
            <rFont val="Tahoma"/>
            <family val="2"/>
          </rPr>
          <t>Begründung für diesen Wert</t>
        </r>
        <r>
          <rPr>
            <sz val="9"/>
            <color indexed="81"/>
            <rFont val="Tahoma"/>
            <family val="2"/>
          </rPr>
          <t>:
- Umso userfreundlicher connect (durch die Einarbeitung von Feedback) wird, umso weniger User werden uns verlassen.
- Umso mehr Zeit und Energie unsere User in ihr virtuelles Zuhause investiert haben, umso weniger sind sie bereit, diese wieder aufzugeben. 
- Wir fokussieren uns darauf, dem User solche Investitionen abzuverlangen, damit er wie in einer alten Ehe connect die Treue hält. Beispiele: Individualisierung, exklusiv Inhalte wie z.B. Quest- bzw. Erfolgs-Belohnungen, Einkäufe, Wettbewerbs-Preise, Tresor-Inhalte, Tausch-Ergebnisse, connect-eigener Freundeskreis, Chat-Verläufe, gesammelte Kontakte, erstellte Favoriten-Listen bei Multimedia-Anbietern, (selbst gezüchtete und trainierte) seltene, virtuelle Haustiere, Einstellungen, etc.
- connect wird laufend weiterentwickelt und wir haben hunderte coole Ideen für Funktionen bzw. Inhalte, die unsere User nicht missen werden wollen.
- Unser Datenschutz-Image und der Aufbau von Vertrauen werden User abhalten, zur Konkurrenz zu wechseln bzw. connect als DIE Kommunikations- und Medien-Plattform ihrer Wahl zu verlassen.</t>
        </r>
      </text>
    </comment>
    <comment ref="J15" authorId="0">
      <text>
        <r>
          <rPr>
            <b/>
            <sz val="9"/>
            <color indexed="81"/>
            <rFont val="Tahoma"/>
            <family val="2"/>
          </rPr>
          <t>Michael Schöggl:</t>
        </r>
        <r>
          <rPr>
            <sz val="9"/>
            <color indexed="81"/>
            <rFont val="Tahoma"/>
            <family val="2"/>
          </rPr>
          <t xml:space="preserve">
</t>
        </r>
        <r>
          <rPr>
            <b/>
            <sz val="9"/>
            <color indexed="81"/>
            <rFont val="Tahoma"/>
            <family val="2"/>
          </rPr>
          <t xml:space="preserve">Summe der monatlichen Reduktionsraten für das gesamte Jahr. </t>
        </r>
        <r>
          <rPr>
            <sz val="9"/>
            <color indexed="81"/>
            <rFont val="Tahoma"/>
            <family val="2"/>
          </rPr>
          <t xml:space="preserve">
- Die Werte links davon sind pro Monat und nicht pro Quartal, das hier ist also nicht die Summe der Werte links, sondern das Jahresergebnis.
- Diese Werte sind mit Vorsicht zu genießen, die eigentliche Reduktionsrate pro Jahr ist eine andere, als die einfache Summe der monatlichen Reduktionen.</t>
        </r>
      </text>
    </comment>
    <comment ref="V15" authorId="0">
      <text>
        <r>
          <rPr>
            <b/>
            <sz val="9"/>
            <color indexed="81"/>
            <rFont val="Tahoma"/>
            <family val="2"/>
          </rPr>
          <t>Michael Schöggl:</t>
        </r>
        <r>
          <rPr>
            <sz val="9"/>
            <color indexed="81"/>
            <rFont val="Tahoma"/>
            <family val="2"/>
          </rPr>
          <t xml:space="preserve">
- 2% pro Monat (Q4 2022) entspricht 24% pro Jahr. Für 2021 und die darauffolgenden Jahre rechnen wir mit 20% Abwanderung pro Jahr. 
- connect bietet sehr viel, um User dauerhaft zu binden, z.B. durch Datenschutz, Multimessenger (einmal eingerichtet will man nicht mehr darauf verzichten) und jedes Investment, das unsere User tätigen (Einkäufe, Belohnungen, Chat-Verkauf, etc.).
- Um vorsichtig zu schätzen, wollen wir aber auch dauerhaft mit 20% jährlicher Abwanderung rechnen, da es unrealistisch ist, alle User halten zu können.</t>
        </r>
      </text>
    </comment>
    <comment ref="Z15" authorId="0">
      <text>
        <r>
          <rPr>
            <b/>
            <sz val="9"/>
            <color indexed="81"/>
            <rFont val="Tahoma"/>
            <family val="2"/>
          </rPr>
          <t xml:space="preserve">Michael Schöggl:
</t>
        </r>
        <r>
          <rPr>
            <sz val="9"/>
            <color indexed="81"/>
            <rFont val="Tahoma"/>
            <family val="2"/>
          </rPr>
          <t xml:space="preserve">
Wegen der frühen Testversion, bei der noch fast nichts geht und vieles buggt, ist die Absprungrate pro Monat sehr hoch. Der Wert sagt aber nichts über die fertige Version aus, denn eines haben ALLE Menschen gemeinsam: sie wollen keine Software nutzen, die noch nicht funktioniert, die kaum was bringt und die viele Probleme hat. </t>
        </r>
      </text>
    </comment>
    <comment ref="A16" authorId="0">
      <text>
        <r>
          <rPr>
            <b/>
            <sz val="9"/>
            <color indexed="81"/>
            <rFont val="Tahoma"/>
            <family val="2"/>
          </rPr>
          <t>Michael Schöggl:</t>
        </r>
        <r>
          <rPr>
            <sz val="9"/>
            <color indexed="81"/>
            <rFont val="Tahoma"/>
            <family val="2"/>
          </rPr>
          <t xml:space="preserve">
- Diese Wachstumsrate wird absolut berechnet, d.h. das Endergebnis Quartal 2 minus Endergebnis Quartal 1. 
- Die Wachstumsrate umfasst die Summe A, B und die User, die pro Monat connect wieder verlassen.</t>
        </r>
      </text>
    </comment>
    <comment ref="J16" authorId="0">
      <text>
        <r>
          <rPr>
            <b/>
            <sz val="9"/>
            <color indexed="81"/>
            <rFont val="Tahoma"/>
            <family val="2"/>
          </rPr>
          <t>Michael Schöggl:</t>
        </r>
        <r>
          <rPr>
            <sz val="9"/>
            <color indexed="81"/>
            <rFont val="Tahoma"/>
            <family val="2"/>
          </rPr>
          <t xml:space="preserve">
</t>
        </r>
        <r>
          <rPr>
            <b/>
            <sz val="9"/>
            <color indexed="81"/>
            <rFont val="Tahoma"/>
            <family val="2"/>
          </rPr>
          <t>Wachstumsrate insgesamt im Vergleich zum Vorjahr</t>
        </r>
        <r>
          <rPr>
            <sz val="9"/>
            <color indexed="81"/>
            <rFont val="Tahoma"/>
            <family val="2"/>
          </rPr>
          <t xml:space="preserve">
- Dieser Wert ist im Gegensatz zu den Summenwerten darüber aussagekräftiger. 
- Die Summenwerte (oben) ignorieren, dass beim Zusammenzählen einzelner prozentualer Steigerungen das Ausmaß der gesamten Steigerung bis zum ersten Wert verloren geht und unterschätzt wird, weil immer nur kleinere Änderungen gemessen werden. Dadurch sind die Summenwerte oben deutlich kleiner, als die absolute Steigerungsrate von Jahr 1 zu Jahr 2.  
- Da connect erst mit Jahresende 2018 als Testversion veröffentlicht wurde und kaum User hat, macht die Berechnung dieser jährlichen Wachstumsrate für 2020 im Vergleich zu 2019 wenig Sinn.</t>
        </r>
      </text>
    </comment>
    <comment ref="A17"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 ref="J17" authorId="0">
      <text>
        <r>
          <rPr>
            <b/>
            <sz val="9"/>
            <color indexed="81"/>
            <rFont val="Tahoma"/>
            <family val="2"/>
          </rPr>
          <t xml:space="preserve">Michael Schöggl:
</t>
        </r>
        <r>
          <rPr>
            <sz val="9"/>
            <color indexed="81"/>
            <rFont val="Tahoma"/>
            <family val="2"/>
          </rPr>
          <t xml:space="preserve">
Summe aller neuen User in diesem Jahr abzüglich derjenigen, die inaktiv geworden sind.</t>
        </r>
      </text>
    </comment>
    <comment ref="A18"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 ref="J18" authorId="0">
      <text>
        <r>
          <rPr>
            <b/>
            <sz val="9"/>
            <color indexed="81"/>
            <rFont val="Tahoma"/>
            <family val="2"/>
          </rPr>
          <t xml:space="preserve">Michael Schöggl:
</t>
        </r>
        <r>
          <rPr>
            <sz val="9"/>
            <color indexed="81"/>
            <rFont val="Tahoma"/>
            <family val="2"/>
          </rPr>
          <t xml:space="preserve">
Absolute Anzahl aller aktiven User am Ende des Jahres. 
</t>
        </r>
      </text>
    </comment>
    <comment ref="A20" authorId="0">
      <text>
        <r>
          <rPr>
            <b/>
            <sz val="9"/>
            <color indexed="81"/>
            <rFont val="Tahoma"/>
            <family val="2"/>
          </rPr>
          <t>Michael Schöggl:</t>
        </r>
        <r>
          <rPr>
            <sz val="9"/>
            <color indexed="81"/>
            <rFont val="Tahoma"/>
            <family val="2"/>
          </rPr>
          <t xml:space="preserve">
- connect hat viele Geschäftsmodelle, wird seinen Fokus aber ganz klar auf B2C konzentrieren, um erste Einnahmen (ab dem 1. User) zu machen. 
- Wenn wir eine kritische Masse an Usern erreicht haben (ca. 20 bis 100k), werden langsam immer stärker auch B2B-Kunden auf uns aufmerksam.
- B2B wird deutlich höhere Einnahmen erbringen, als B2C.
- Wir konzentrieren uns von Anfang an auf die Akquise von B2B-Kunden, realistischerweise werden unsere Bemühungen aber erst erfolgreich sein, wenn wir mindestens 20.000 User haben. 
- Wir haben aktive Gespräche mit mehr als zwei Dutzend großer internationaler Unternehmen, die Interesse an einer Zusammenarbeit haben und noch ein wenig zögern, weil es noch etwas zu früh ist. U.a. Porsche, A1, Deutsche Telekom, Red Bull, Wirecard (Kooperation bereits zugesagt), Internorm, Canon, Antenne (Kooperation bereits zugesagt), Energie Steiermark, etc.
- Fast alle Unternehmen, mit denen wir bisher in Kontakt kamen, haben mit uns Gespräche geführt und Interesse gezeigt (wir hatten mehr als ein Dutzend Präsentationen). Uns fehlte bisher die Zeit und die Mittel (Mitarbeiter), um offensiver auf weitere Unternehmen zuzugehen.
- Auf Basis dieser Erfahrungen können wir mit hoher Sicherheit annehmen, dass es uns sehr rasch gelingen wird, Unternehmen als Kunden zu gewinnen, sobald unsere Software fertig ist und wir mindestens 20.000 User haben. Keines dieser Unternehmen will zu spät kommen, aber auch keines kann es sich leisten, bereits fixe Zusagen zu machen, solange unser Projekt noch keine/kaum Traktion bewiesen hat.</t>
        </r>
      </text>
    </comment>
    <comment ref="A21" authorId="1">
      <text>
        <r>
          <rPr>
            <b/>
            <sz val="9"/>
            <color indexed="81"/>
            <rFont val="Tahoma"/>
            <family val="2"/>
          </rPr>
          <t>e.com:</t>
        </r>
        <r>
          <rPr>
            <sz val="9"/>
            <color indexed="81"/>
            <rFont val="Tahoma"/>
            <family val="2"/>
          </rPr>
          <t xml:space="preserve">
- Siehe Quelle 06: Bei erfolgreichen Apps gibt der durchschnittliche User pro Jahr für In-App-Einkäufe ca. 76 € aus.
- connect ist kostenlos, aber User können Erweiterungen wie z.B. virtuelle Haustiere (Entchen, Krokodil fertig, Schildkröte, Küken etc. bald), Spiele, neue virtuelle Räume/Orte (z.B. Oval Office, fertig), Deko, Gimmicks (z.B. Wettergerät), virtuelle Geschenke (z.B. Rose, Flugzeug mit beschriftbaren Banner, etc.) kaufen. 
- Erfahrungen bei Spielen zeigen, dass diese Form der Monetarisierung in vielen Fällen höhere Einnahmen bringt, als ein monatliches Abo-System oder der Kaufpreis eines Spieles.
- In connect werden vor allem virtuelle, fotorealistische, alternative Szenen (z.B. Oval Office), dekorative, stark limitierte Erweiterungen und virtuelle Haustiere für hohe Einnahmen sorgen. Der User kauft z.B. ein Ei und es schlüpft meistens ein Entchen daraus, selten ein Krokodilbaby und extrem selten ein Saurierbaby. Jedes Tier gibt es in verschieden häufigen Farben. Viele User werden zahlreiche Eier kaufen, weil sie unbedingt z.B. ein schwarzes Baby-Krokodil wollen, das ihren Sozialstatus unterstreichen soll und besonders rar und wertvoll ist. 
- Auch alternative VR-Szenarien (die fotorealistisch und interaktiv sind), sind für wenige Euro erschwinglich, viele User werden als Sammler einfach alles kaufen, was angebot wird. 
- In dieser Aufstellung rechnen wir mit realistischen 3,5 bis langfristig 10 Euro pro User und Jahr an Einnahmen, aber möglich wären auch 40 Euro oder mehr. connect bietet viel mehr verschiedenartigen Content, als klassische Spiele und die Inhalte sind noch relevanter für den eigenen Sozial-Status (virtuelle, möglichst realistische Welt, die realen Freunde als Bewunderer, statt fremde Spieler, etc.).</t>
        </r>
      </text>
    </comment>
    <comment ref="B21" authorId="0">
      <text>
        <r>
          <rPr>
            <b/>
            <sz val="9"/>
            <color indexed="81"/>
            <rFont val="Tahoma"/>
            <family val="2"/>
          </rPr>
          <t>Michael Schöggl:</t>
        </r>
        <r>
          <rPr>
            <sz val="9"/>
            <color indexed="81"/>
            <rFont val="Tahoma"/>
            <family val="2"/>
          </rPr>
          <t xml:space="preserve">
</t>
        </r>
        <r>
          <rPr>
            <b/>
            <sz val="9"/>
            <color indexed="81"/>
            <rFont val="Tahoma"/>
            <family val="2"/>
          </rPr>
          <t>Wieviel € gibt ein aktiver User im Durchschnitt für In-App-Käufe pro Monat aus?</t>
        </r>
        <r>
          <rPr>
            <sz val="9"/>
            <color indexed="81"/>
            <rFont val="Tahoma"/>
            <family val="2"/>
          </rPr>
          <t xml:space="preserve">
</t>
        </r>
        <r>
          <rPr>
            <u/>
            <sz val="9"/>
            <color indexed="81"/>
            <rFont val="Tahoma"/>
            <family val="2"/>
          </rPr>
          <t>Begründung für diesen Wert</t>
        </r>
        <r>
          <rPr>
            <sz val="9"/>
            <color indexed="81"/>
            <rFont val="Tahoma"/>
            <family val="2"/>
          </rPr>
          <t xml:space="preserve">:
- Wir rechnen mit 0,3 € (Q3 2020) bis 0,93 € (Q4 2022) pro Monat.
- Das sind sehr vorsichtige, pessimistische Schätzwerte, da offizielle Zahlen und Vergleiche mit anderen Apps/Spielen deutlich höhere Durchschnittswerte belegen. Siehe hierzu Quellen 04 bis 08. WeChat ARPU: 35 $.
- connect ist keine reine App, sondern auch als PC- bzw. PlayStation-Version und in VR erhältlich; dadurch können wir mit den deutlich höheren Einnahmen aus der Online-Spiele-Branche rechnen (siehe Quelle 08, im Durchschnitt 20 € pro Jahr). 
- Da connect "hochwertig" ist/wirkt (kein 2D-Handy-Spiel, sondern ein fotorealistischer Raum um mich herum), ist es sehr wahrscheinlich, dass unsere User auch mehr Geld auszugeben bereit sind, um ihr virtuelles Reich zu verbessern.
- Die gekauften Inhalte haben "persönliche Relevanz" (es sind keine Gimmicks für eine Spielfigur, sondern für </t>
        </r>
        <r>
          <rPr>
            <i/>
            <sz val="9"/>
            <color indexed="81"/>
            <rFont val="Tahoma"/>
            <family val="2"/>
          </rPr>
          <t>mein</t>
        </r>
        <r>
          <rPr>
            <sz val="9"/>
            <color indexed="81"/>
            <rFont val="Tahoma"/>
            <family val="2"/>
          </rPr>
          <t xml:space="preserve"> virtuelles Leben / Reich). 
- Durch den Social-Network-Aspekt erhöhen exklusive Inhalte meinen Sozial-Status gegenüber allen Freunden und nicht nur gegenüber anderen, unbekannten Gamern. 
- Viele In-App-Käufe sind tatsächlich nützlich (z.B. funktionelle Updates), es ist leicht, sie als sinnvoll zu betrachten und insofern auch eher Geld dafür auszugeben. Zudem sind es nicht nur spielerische Inhalte, sondern auch Medien- bzw. Erlebnis-Inhalte, deren Kauf kein negatives Image hat und mehr allgemeine Akzeptanz findet.
- Investitionen in Spiele haben nur kurz einen Wert, bald ist das Spiel nicht mehr interessant, die Preise verfallen (siehe Pokemon Go); bei einem sozialen Netzwerk bleiben meine Investments erhalten. 
- connect-Inhalte können verkauft, verschenkt und vertauscht werden, die Inhalte behalten dadurch an Wert. Das gilt für ALLE Freunde, nicht nur für fremde Gamer.
- Allein ein tauschbares, züchtbares interaktives, täuschend realistisches Haustier in VR wie z.B. ein Tigerbaby - dafür (oder für eine komplett neues Zuhause, z.B. einem Star Wars Raumschiff oder auf einem Piratenschiff) sind User eher bereit 1-15 € zu zahlen, als für Futter für einen "Pou" (bitte googlen). 
- Unsere In-App-Käufe sprechen zudem eine viel größere Zielgruppe an (z.B. VR Sex, VR Haustiere oder süße virtuelle Geschenke für Freunde oder nützliche Funktionen), als klassische In-App-Käufe in sehr spezifischen Spielen.
- connect wird eine Geldmaschine und unsere Schätzwerte sind (mittelfristig) lächerlich gering. 
- Ich könnte ein 500-Seiten-Buch darüber schreiben, warum wir viiiiel höhere Einnahmen durch In-App-Einnahmen haben werden, als der Durchschnitt in den zitierten Quellen. Das ist ein Thema, das wir diskutieren sollten.</t>
        </r>
      </text>
    </comment>
    <comment ref="C21" authorId="0">
      <text>
        <r>
          <rPr>
            <b/>
            <sz val="9"/>
            <color indexed="81"/>
            <rFont val="Tahoma"/>
            <family val="2"/>
          </rPr>
          <t>Michael Schöggl:</t>
        </r>
        <r>
          <rPr>
            <sz val="9"/>
            <color indexed="81"/>
            <rFont val="Tahoma"/>
            <family val="2"/>
          </rPr>
          <t xml:space="preserve">
</t>
        </r>
        <r>
          <rPr>
            <b/>
            <sz val="9"/>
            <color indexed="81"/>
            <rFont val="Tahoma"/>
            <family val="2"/>
          </rPr>
          <t>Um wieviel € pro Quartal werden sich die In-App-Ausgaben der User erhöhen lassen?</t>
        </r>
        <r>
          <rPr>
            <sz val="9"/>
            <color indexed="81"/>
            <rFont val="Tahoma"/>
            <family val="2"/>
          </rPr>
          <t xml:space="preserve">
</t>
        </r>
        <r>
          <rPr>
            <u/>
            <sz val="9"/>
            <color indexed="81"/>
            <rFont val="Tahoma"/>
            <family val="2"/>
          </rPr>
          <t>Begründung für diesen Wert</t>
        </r>
        <r>
          <rPr>
            <sz val="9"/>
            <color indexed="81"/>
            <rFont val="Tahoma"/>
            <family val="2"/>
          </rPr>
          <t>:
- Je mehr Inhalte wir anbieten, umso mehr wird auch gekauft. 
- Ist die Hemmschwelle mal gefallen, werden Stammkunden schneller und leichter weitere Käufe tätigen.
- Im Laufe der Quartale sammeln sich "Stammkunden" an, deren Verbundenheit mit connect immer stärker wird. Diese werden einen Sammlerehrgeiz entwickeln und möglichst viel / alles kaufen, was kaufbar ist.
- Wir werden die Anzahl der kaufbaren Inhalte zu Beginn sehr gering und überschaubar halten, damit ein Sammler-Instinkt entstehen kann (wenn es unmöglich ist, alles zu besitzen, wird dieser abgewürgt). Ein Prozentsatz der User wird versuchen alles zu erwerben, was es gibt. Langsam werden wir diese Anzahl steigern, d.h. es kommen mehr neue monatliche Inhalte dazu.
- Je mehr User connect bekommt, umso mehr Motivation entsteht, Freunden etwas zu kaufen und zu schenken (weil mehr Freunde auch connect verwenden).
- Je mehr User connect hat, umso eher werden In-App-Käufe ein positives, sozial angesehenes Image entwickeln. Die Hemmschwelle sinkt, auch deshalb, weil durch die Tauschbarkeit der Items der fiktive Wert nicht so leicht verloren geht.
- Zeitlich begrenzte Kaufmöglichkeiten werden dazu führen, dass manche User ihren Einkauf teurer weiterverkaufen können, weil die Userzahl und damit die Nachfrage gestiegen ist. Solche Strategien können wir nur im Laufe der Zeit entwickeln, wenn wir aber dieses Image der "Wertigkeit" unserer Inhalte erreicht haben, werden auch mehr Menschen Geld ausgeben.
- Der VR-Markt wächst, das Interesse an VR wächst, mehr Prozent unserer User werden VR-Technik verwenden und damit werden auch unsere klassischen VR-In-App-Käufe wie z.B. virtuelle Szenen / Räume / Einrichtungen an Beliebtheit zunehmen.</t>
        </r>
      </text>
    </comment>
    <comment ref="A22" authorId="0">
      <text>
        <r>
          <rPr>
            <b/>
            <sz val="9"/>
            <color indexed="81"/>
            <rFont val="Tahoma"/>
            <family val="2"/>
          </rPr>
          <t>Michael Schöggl:</t>
        </r>
        <r>
          <rPr>
            <sz val="9"/>
            <color indexed="81"/>
            <rFont val="Tahoma"/>
            <family val="2"/>
          </rPr>
          <t xml:space="preserve">
- Im virtuellen Zuhause der User werden alle Objekte Markenprodukte sein und da jedes Objekt eine Funktion hat (z.B. Fotos machen mit der Kamera), wird diese unterschwellige Product Placement Werbung nicht als aufdringlich wahrgenommen.
- Aktuell gibt es 2 Räume mit rund 15 verschiedenen Markenprodukten, langfristig wird der User sein virtuelles Zuhause um zahlreiche Räume erweitern, es wird komplett neue Szenen geben (z.B. eine Bar, um andere User zu treffen, Kino, Stadt, etc.). Dadurch werden immer mehr "Slots" für Markenprodukte geschaffen.
- Der User kann (in seinem eigenen Zuhause) alles individualisieren und wird z.B. regelmäßig neue Kamera-Modelle anzeigen, auch, weil er ein gewisses Interesse daran hat, immer das Neueste virtuell zu besitzen. Dadurch verdienen wir pro Slot und Jahr mehrmals, bei mehreren unterschiedlichen Markenprodukten. 
- Es gibt viele psychologische Gründe (siehe Kommentare bei den Werte), warum diese Form der Werbung effektiver ist, als alle anderen Zugänge, die es aktuell weltweit gibt.
- Der User wird die Möglichkeit haben, sich zu allen Objekten Informationen anzeigen zu lassen, z.B. wo er es um welchen (günstigsten) Preis kaufen kann, wie lang die Lieferung dauert, welche Bewertungen andere gegeben haben und welche technischen Eigenschaften die Objekte haben. Mittelfristig kann er sie direkt über uns bestellen, in Zusammenarbeit mit Amazon / Alibaba bzw. längerfristig eventuell durch einen eigenen Vertrieb (siehe dazu 2.5 Provision für direkte Online-Einkäufe). </t>
        </r>
      </text>
    </comment>
    <comment ref="B22" authorId="0">
      <text>
        <r>
          <rPr>
            <b/>
            <sz val="9"/>
            <color indexed="81"/>
            <rFont val="Tahoma"/>
            <family val="2"/>
          </rPr>
          <t xml:space="preserve">Michael Schöggl:
Wieviel € pro Monat und User verdienen wir mit Product Placement?
</t>
        </r>
        <r>
          <rPr>
            <u/>
            <sz val="9"/>
            <color indexed="81"/>
            <rFont val="Tahoma"/>
            <family val="2"/>
          </rPr>
          <t>Begründung für diesen Wert</t>
        </r>
        <r>
          <rPr>
            <sz val="9"/>
            <color indexed="81"/>
            <rFont val="Tahoma"/>
            <family val="2"/>
          </rPr>
          <t>:
- Wir werden mindestens folgende Prämien verlangen (die Preise könnten nach genauer Prüfung auch höher angesetzt werden, hier wollen wir mit vielen Experten und Partnern sprechen): 
&gt; 1 hour:      0.15 €/$ 
&gt; 2 hours: + 0.12 €/$ 
&gt; 3 hours: + 0.10 €/$ 
&gt; 4 hours: + 0.08 €/$ 
&gt; 5 hours: + 0.05 €/$
= insgesamt maximal 50 Cent.</t>
        </r>
        <r>
          <rPr>
            <sz val="9"/>
            <color indexed="81"/>
            <rFont val="Tahoma"/>
            <family val="2"/>
          </rPr>
          <t xml:space="preserve">
- Die Werbung ist unterschwellig, nicht aufdringlich, wirkt über Stunden, Tage oder Monate (statt Sekunden), die Objekte sind interaktiv und teilweise lustig, der User gewöhnt sich an sie, baut eine Bindung zu ihnen auf. Die Werbung ist ganz nahe an der Realität (keine abstrakte Verbindung) und wir können das positive Erlebnis mit den Objekten gezielt steuern (durch z.B. lustige, spannende, positive Ereignisse).
- Jeder NEUE Werbezugang trifft zu Beginn auf weniger Abwehr, warum Profis immer nach neuen Zugängen suchen, die noch nicht durch viele Konkurrenten überlaufen sind und beim Kunden zur Sättigung und Abwehr führen. Daher ist unser Werbezugang äußerst effektiv. 
- Der User wird alle Objekte in 3D von allen Seiten bewundern können, kann sie hochheben, neu platzieren. Er kann Materialien austauschen (z.B. bei Möbeln das Funier oder den Bezug wechseln) und sich somit alles so gestalten, wie es ihm gefällt. Die Objekte, die er im Raum hat, werden seinem Geschmack entsprechen (zielgruppenspezifisch) und der User wird seine Entscheidung aufgrund des Bedürfnisses "Recht zu behalten" gegenüber sich und anderen verteidigen, er wird zum Verfechter seiner Wahl. 
- Weitere Infos und Argumente: siehe Wert rechts und Beschreibung links!
</t>
        </r>
      </text>
    </comment>
    <comment ref="C22" authorId="0">
      <text>
        <r>
          <rPr>
            <b/>
            <sz val="9"/>
            <color indexed="81"/>
            <rFont val="Tahoma"/>
            <family val="2"/>
          </rPr>
          <t>Michael Schöggl:</t>
        </r>
        <r>
          <rPr>
            <sz val="9"/>
            <color indexed="81"/>
            <rFont val="Tahoma"/>
            <family val="2"/>
          </rPr>
          <t xml:space="preserve">
</t>
        </r>
        <r>
          <rPr>
            <b/>
            <sz val="9"/>
            <color indexed="81"/>
            <rFont val="Tahoma"/>
            <family val="2"/>
          </rPr>
          <t>Um wieviel Cent pro Quartal werden sich die monatlichen Einnahmen durch Product Placement erhöhen?</t>
        </r>
        <r>
          <rPr>
            <sz val="9"/>
            <color indexed="81"/>
            <rFont val="Tahoma"/>
            <family val="2"/>
          </rPr>
          <t xml:space="preserve">
</t>
        </r>
        <r>
          <rPr>
            <u/>
            <sz val="9"/>
            <color indexed="81"/>
            <rFont val="Tahoma"/>
            <family val="2"/>
          </rPr>
          <t>Begründung für diesen Wert</t>
        </r>
        <r>
          <rPr>
            <sz val="9"/>
            <color indexed="81"/>
            <rFont val="Tahoma"/>
            <family val="2"/>
          </rPr>
          <t xml:space="preserve">:
- Wie im Kommentar der Beschreibung links dargestellt, gibt es zu Beginn rund 15 Slots in den aktuell 2 Räumen, um Markenprodukte anzuzeigen. Unsere VR-Welt wächst, es werden im Laufe der Zeit hunderte Slots werden. Da der User regelmässig seine eigenen Objekte im Raum im Zuge der Individualisierung austauschen wird (z.B. im Schnitt alle 3 Monate die Möbel) und wir bei öffentlichen Räumen (z.B. Bar, Stadt, etc.) gleich verfahren, können wir pro Slot mehrmals pro Jahr mit Einnahmen von unterschiedlichen Partnern rechnen. Jeder Slot wird also mehr bringen, als 50 Cent pro User.
- Wir rechnen hier mit extrem vorsichtigen, bescheidenen Werten. Statistische Daten zeigen, dass User im Durchschnitt mehrere Stunden am Tag aktiv sind, in einem virtuellen Zuhause bzw. einer virtuellen Welt vllt sogar mehr. Je aktiver, umso länger betrachtet er die Product Placement Werbung. 
- Bei 27 Cent pro User und Monat würden wir davon ausgehen, dass der User in diesem Monat nur eines der aktuell 15 Objekte für mehr als 2 Stunden gesehen hat, oder 2 Objekte für jeweils mehr als 1 Stunde (siehe Preisgestaltung im Kommentar links). 
- Natürlich liegen die meisten Objekte direkt im Blick der Standard-Bildschirmausschnitte, die der User regelmäßig verwendet, z.B. am virtuellen Schreibtisch, wo alle Social Network Funktionen zu finden sind. Da die Objekte alle Funktionen haben, werden sie zwangsläufig regelmäßig betrachtet.
- Es ist extrem viel Luft nach oben. Langfristig könnten User pro Monat bei 50 Objekten die Obergrenze von 5 Stunden Betrachtung erreichen, das wären dann 25 € pro MONAT! 
- Zudem sind unsere Preise mehr als moderat und könnten deutlich höher sein, oder angehoben werden (wenn sich immer mehr Unternehmen um unsere Werbung streiten - vgl. Google/Facebook: die Preise sind dann die Höchstgebote). 
- Darum rechnen wir natürlich mit einer Steigerung der Einnahmen pro Quartal, 10 Cent sind sehr pessimistisch und locker zu erreichen. </t>
        </r>
      </text>
    </comment>
    <comment ref="A23" authorId="0">
      <text>
        <r>
          <rPr>
            <b/>
            <sz val="9"/>
            <color indexed="81"/>
            <rFont val="Tahoma"/>
            <family val="2"/>
          </rPr>
          <t xml:space="preserve">Michael Schöggl:
</t>
        </r>
        <r>
          <rPr>
            <sz val="9"/>
            <color indexed="81"/>
            <rFont val="Tahoma"/>
            <family val="2"/>
          </rPr>
          <t xml:space="preserve">
- Ca. 30% Provision an allen Verkäufen.
- Zu Beginn bringt uns dieser Zugang weniger, als unser eigener In-App-Shop unter 2.1, aber je mehr User wir haben, umso mehr Drittanbieter werden Inhalte für connect bauen und umso mehr Kaufmöglichkeiten werden User haben und auch nutzen. 
- Große Unternehmen wie Walt Disney sollen z.B. ihre Welten als VR-Szene bereitstellen - z.B. Star Wars oder Fluch der Karibik. Für solche fotorealistischen, interaktiven VR-Szenen können die Preise deutlich höher sein (ca. 5-10 €), als bei virtuellen Haustieren, Spielen, Gimmicks und Co.</t>
        </r>
      </text>
    </comment>
    <comment ref="B23" authorId="0">
      <text>
        <r>
          <rPr>
            <b/>
            <sz val="9"/>
            <color indexed="81"/>
            <rFont val="Tahoma"/>
            <family val="2"/>
          </rPr>
          <t>Michael Schöggl:</t>
        </r>
        <r>
          <rPr>
            <sz val="9"/>
            <color indexed="81"/>
            <rFont val="Tahoma"/>
            <family val="2"/>
          </rPr>
          <t xml:space="preserve">
</t>
        </r>
        <r>
          <rPr>
            <b/>
            <sz val="9"/>
            <color indexed="81"/>
            <rFont val="Tahoma"/>
            <family val="2"/>
          </rPr>
          <t>Wieviel € pro Monat verdienen wir durch Provision an Drittanbieter-Inhalten?</t>
        </r>
        <r>
          <rPr>
            <sz val="9"/>
            <color indexed="81"/>
            <rFont val="Tahoma"/>
            <family val="2"/>
          </rPr>
          <t xml:space="preserve">
</t>
        </r>
        <r>
          <rPr>
            <u/>
            <sz val="9"/>
            <color indexed="81"/>
            <rFont val="Tahoma"/>
            <family val="2"/>
          </rPr>
          <t>Begründung für diesen Wert</t>
        </r>
        <r>
          <rPr>
            <sz val="9"/>
            <color indexed="81"/>
            <rFont val="Tahoma"/>
            <family val="2"/>
          </rPr>
          <t>:
- Der Start wird sehr bescheiden sein, weil es nur wenige Drittanbieter geben wird. Durch den zweiten Wert (siehe Spalte rechts) wird der Zugewinn an weiteren Drittanbieter dargestellt, durch den dieses Geschäftsmodell sehr schnell an Bedeutung gewinnt.
- Der Wert ist auch deshalb deutlich geringer, als für In-App-Käufe, weil wir nur einen Anteil erhalten, nicht die volle Summe. Wir werden rund 30% an Provision verlangen.</t>
        </r>
      </text>
    </comment>
    <comment ref="C23" authorId="0">
      <text>
        <r>
          <rPr>
            <b/>
            <sz val="9"/>
            <color indexed="81"/>
            <rFont val="Tahoma"/>
            <family val="2"/>
          </rPr>
          <t>Michael Schöggl:</t>
        </r>
        <r>
          <rPr>
            <sz val="9"/>
            <color indexed="81"/>
            <rFont val="Tahoma"/>
            <family val="2"/>
          </rPr>
          <t xml:space="preserve">
</t>
        </r>
        <r>
          <rPr>
            <b/>
            <sz val="9"/>
            <color indexed="81"/>
            <rFont val="Tahoma"/>
            <family val="2"/>
          </rPr>
          <t>Um wieviel € pro Quartal erhöhen sich unsere monatlichen Einnahmen durch Provision für Drittanbieter-Inhalte?</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mehr Drittanbieter werden über uns Inhalte verkaufen (z.B. alternative 3D-Umgebungen, virtuelle Haustiere oder klassische Merchandising-Produkte in VR).
- Die Zahl ist gleich hoch, wie bei In-App-Käufen, stellt aber eine fast dreimal so schnelle Steigerung dar, weil wir nur ca. 30% an Provision von diesen In-App-Inhalten erhalten werden. Wir gehen aber davon aus, dass rund 3/4 aller verfügbaren In-App-Käufe von Drittanbietern stammen werden und diese Einnahmequelle langfristig die Einnahmen durch eigene Inhalte überholen wird. 
- Wir werden nur Inhalte von Partnern zulassen, die höchsten Qualitätsansprüchen genügen und auch nur dann, wenn sie vor der Entwicklung abgesprochen waren. Wir werden es um jeden Preis verhindern, dass mindere Qualität unser Image zerstört, alle Inhalte müssen a.) funktionell und interaktiv, b.) möglichst fotorealistisch c.) preislich fair (d.h. eher günstig, Massenmarkt) sein. 
- Wir wollen auf keinen Fall, dass der Sammler-Instinkt unserer User durch ein Überangebot (noch dazu von schlechter Qualität - wo der Einkauf als unfair empfunden wird und die Zufriedenheit riskiert) zerstört wird. Es soll möglich bleiben, dass ein User alles kauft, was es gibt - ohne dass er dabei mehr als rund 1000 € ausgibt. Besonders seltene Inhalte werden nicht kaufbar sein (sondern z.B. Aufwand bedeuten oder durch Zufall limitiert), da bereits ein einziger kaufbarer Inhalt, der zu teuer ist, den Sammeltick bei fast allen Menschen zerstören würde.
- Geplante maximale Gesamtausgaben (wenn ein User alles kaufbare kauft): 2020: 70 €, 2021: 200 €, 2022: 400 €, ... 2023: 1000 €. Wir wollen, dass möglichst viele Menschen möglichst alles kaufen / sammeln. 
- Wir werden Anreize (Belohnungen, Visualisierungen, Titel etc.) für User schaffen, die alle kaufbaren Inhalte gesammelt haben (ebenso wie alle, die man z.B. durch den Tresor oder durch Erfolge erhalten kann, etc. - aber da wird das Erreichen des Ziels viel schwieriger sein, weshalb viele sich als Ersatz den Erfolg für alle kaufbaren Inhalte holen werden). </t>
        </r>
      </text>
    </comment>
    <comment ref="D23" authorId="0">
      <text>
        <r>
          <rPr>
            <b/>
            <sz val="9"/>
            <color indexed="81"/>
            <rFont val="Tahoma"/>
            <family val="2"/>
          </rPr>
          <t>Michael Schöggl:</t>
        </r>
        <r>
          <rPr>
            <sz val="9"/>
            <color indexed="81"/>
            <rFont val="Tahoma"/>
            <family val="2"/>
          </rPr>
          <t xml:space="preserve">
- Der Schätzwert zu Frage 7 (Einnahmen durch 2.3, 2.4 und 2.5) wird gleichmäßig auf 2.3, 2.4 und 2.5 aufgeteilt. In Wirklichkeit wird die Verteilung zwar ziemlich sicher nicht gleichmäßig sein, aber für das Ergebnis ist das irrelevant.</t>
        </r>
      </text>
    </comment>
    <comment ref="A24" authorId="0">
      <text>
        <r>
          <rPr>
            <b/>
            <sz val="9"/>
            <color indexed="81"/>
            <rFont val="Tahoma"/>
            <family val="2"/>
          </rPr>
          <t>Michael Schöggl:</t>
        </r>
        <r>
          <rPr>
            <sz val="9"/>
            <color indexed="81"/>
            <rFont val="Tahoma"/>
            <family val="2"/>
          </rPr>
          <t xml:space="preserve">
- Wenn User über uns zu VR-Shops vermittelt werden und in diesen einkaufen, verlangen wir zwischen 1 bis 5 % an Provision (der Wert steht noch nicht fest, er soll mit Experten und Partnern besprochen werden). 
- VR-Shops müssen irgendwie an User kommen, diese sind in der Regel zu faul, um extra dafür eine Software runterzuladen, sich anzumelden, auf Gerätekompatibilität zu prüfen, ihre Bezahldaten für jeden Shop extra anzugeben, etc. Daher könnten wir das "Amazon in VR" werden, wir übernehmen diesen Service und verlangen dafür Provision. 
- Wir könnten auch das Erstellen von VR-Shops anbieten, damit diese bestmöglich unseren Anforderungen entsprechen. Allgemein aber ist connect so gestaltet, dass bestmöglich Schnittstellen zu VR-Shops unterstützt. Wir arbeiten mit Unity, einer Game Enigne, mit der rund 70 % der gesamten VR/AR-Software weltweit erstellt wird. Alle Unity-Szenen wären plattformunabhängig und leicht mit uns verknüpfbar. 
- Wir wollen mittelfristig ein Baukasten-System anbieten, mit dem jeder Partner sehr einfach einen VR-Shop in Unity erstellen kann und mit unserem Netzwerk anknüpfen. Dasselbe haben wir für Medien bereits gemacht - dort gibt es bereits eine Online-Plattform für die Verknüpfung aller Video-, Audio-, Print- oder Internet-Medien mit unserem virtuellen Zuhause. Der Aufwand beträgt weniger als 30 Minuten, auch der Aufwand für VR-Shops soll minimalisiert werden. 
- Ein Baukasten könnte den Partnern ermöglichen, dass sie sich sehr schnell einen Shop zusammenbasteln, mit Logos, Einrichtung und Design schmücken und nur noch ihre eigenen, verkaufbaren Produkte als 3D-Modelle einbringen müssen. Diese existieren schon jetzt für die meisten Produkte, weil die "Fotos" auf Amazon keine Fotos sondern 3D-Renderings von 3D-Modellen sind. 
- Wir haben mit einer Vielzahl von internationalen Unternehmen bei Business-Veranstaltungen gesprochen und wissen genau, worauf es ankommt und wie wir hier das einfachste, attraktivste Modell einer Zusammenarbeit gestalten müssen. 
- Auch ohne unseren Baukasten: Wer einen VR-Shop baut, wird gut darin beraten sein, ihn Unity-tauglich zu kreieren, weil er ihn nur so kompatibel mit vielen Plattformen (Hardware) und Netzwerken (Software) gestalten kann. 
- Oculus (Facebook) und Amazon versuchen einen restriktiven Weg zu gehen und eine eigene Enigne für die Erstellung von VR-Inhalten anzubieten (es gibt bisher nur Ankündigungen), aber dann wären alle Partner "gefangen" und abhängig und würden nur über eine Hardware (Oculus Brille) bzw. einen Anbieter (Amazon) ihre Shops anbinden können. Es ist sehr wahrscheinlich, dass es uns gelingt, mehr Partner durch eine nicht restriktive Politik zu gewinnen, weil deren Shops nicht nur mit unserem Produkt funktionieren würden, sondern bei ca. 90% aller Anbieter. Außerdem ist die Enigne Unity mit 12 Jahren Vorsprung viel besser, als die noch unfertigen Neuentwicklungen von Amazon und Facebook. Wir sind hier vergleichbar mit Microsoft bzw. Android (unterstützen möglichst alles) versus Apple bzw. iPhone (restriktive Politik, die von FB und Amazon kopiert wird).</t>
        </r>
      </text>
    </comment>
    <comment ref="B24" authorId="0">
      <text>
        <r>
          <rPr>
            <b/>
            <sz val="9"/>
            <color indexed="81"/>
            <rFont val="Tahoma"/>
            <family val="2"/>
          </rPr>
          <t>Michael Schöggl:</t>
        </r>
        <r>
          <rPr>
            <sz val="9"/>
            <color indexed="81"/>
            <rFont val="Tahoma"/>
            <family val="2"/>
          </rPr>
          <t xml:space="preserve">
</t>
        </r>
        <r>
          <rPr>
            <b/>
            <sz val="9"/>
            <color indexed="81"/>
            <rFont val="Tahoma"/>
            <family val="2"/>
          </rPr>
          <t xml:space="preserve">
Wieviel € werden wir pro Monat an Provision für die Vermittlung unserer User zu VR-Shops erhalten?</t>
        </r>
        <r>
          <rPr>
            <sz val="9"/>
            <color indexed="81"/>
            <rFont val="Tahoma"/>
            <family val="2"/>
          </rPr>
          <t xml:space="preserve">
</t>
        </r>
        <r>
          <rPr>
            <u/>
            <sz val="9"/>
            <color indexed="81"/>
            <rFont val="Tahoma"/>
            <family val="2"/>
          </rPr>
          <t>Begründung für diesen Wert</t>
        </r>
        <r>
          <rPr>
            <sz val="9"/>
            <color indexed="81"/>
            <rFont val="Tahoma"/>
            <family val="2"/>
          </rPr>
          <t xml:space="preserve">:
- Der Wert startet sehr bescheiden, weil zu Beginn (ab 2021) noch wenige VR-Shops an uns angebunden sein werden und auch nur wenige erste Early Adopter User in VR einkaufen werden. 
- Die Steigerung rechts ist deutlich höher (siehe Begründung dafür im Kommentar rechts). 
- Wir werden ca. 2 - 10 % an Provision für Einkäufe, die durch uns vermittelt wurden, verlangen. Dieser Wert soll noch von Experten und in Absprache mit Partnern geprüft und gegebenfalls angepasst werden. 
</t>
        </r>
      </text>
    </comment>
    <comment ref="C24" authorId="0">
      <text>
        <r>
          <rPr>
            <b/>
            <sz val="9"/>
            <color indexed="81"/>
            <rFont val="Tahoma"/>
            <family val="2"/>
          </rPr>
          <t>Michael Schöggl:
Um wieviel € pro Quartal steigern sich unsere monatlichen Einnahmen durch Provision für VR-Shops?</t>
        </r>
        <r>
          <rPr>
            <sz val="9"/>
            <color indexed="81"/>
            <rFont val="Tahoma"/>
            <family val="2"/>
          </rPr>
          <t xml:space="preserve">
</t>
        </r>
        <r>
          <rPr>
            <u/>
            <sz val="9"/>
            <color indexed="81"/>
            <rFont val="Tahoma"/>
            <family val="2"/>
          </rPr>
          <t>Begründung für diesen Wert</t>
        </r>
        <r>
          <rPr>
            <sz val="9"/>
            <color indexed="81"/>
            <rFont val="Tahoma"/>
            <family val="2"/>
          </rPr>
          <t xml:space="preserve">:
- Die ersten Unternehmen, die ihre Waren auch zum Kauf in VR-Shops anbieten, werden allein durch die Neugier der VR-User, die solche Shops mal erleben wollen, eine neue, zusätzliche Zielgruppe erschließen.
- Selbst, wenn das nicht stimmt: kein großes Unternehmen wird es sich leisten können, diesen Markt zu verschlafen. Wer würde schon gerne das Online-Shopping komplett verschlafen? Es gehört beinahe zur Pflicht eines großen Unternehmens, im Zuge der Risikominimierung, möglichst rasch auch einen VR-Shop anzubieten (Beispiele wie Kodak oder Nokia schrecken Manager, die sich gegenüber Aktionären verantworten müssen, ab).
- Die Erstellung eines VR-Shops kostet nicht mehr als ca. 100.000 bis 2 Millionen Euro. Wir könnten solche Auftragsarbeiten auch anbieten, wenn wir wollen! (Nachfrage haben wir bereits mehr als genug erhalten). 
- Das Feedback von mehr als einem Dutzend großer Unternehmen (darunter Porsche, A1, Red Bull, Deutsche Telekom, Wirecard, Casino-Anbieter etc.) war, dass sie ernsthaft an einem VR-Shop interessiert sind, ihn uns in Auftrag geben würden oder bereits selbst daran arbeiten. 
- Auch Statistiken (siehe Quelle 17) belegen, dass viele Unternehmen sehr bald (wir rechnen ab 2021) VR-Shops anbieten werden. Zudem belegen sie (siehe Quelle 5), dass Shopping-Apps im Schnitt pro User rund 2,68 € pro Monat verdienen. 
- Wir haben connect (mit der weitweit größten VR- und Game Engine Unity) so modular und erweiterbar entwickelt, dass unsere App mit möglichst vielen VR-Erlebnissen verknüpft werden kann. Es wird uns leichter, als anderen Mitbewerbern fallen, fast jeden VR-Inhalt (und somit auch Shops) anzubinden. Selbst, wenn das in einigen Fällen nicht automatisch gehen sollte, wäre der Aufwand für ein Unternehmen, ihren Shop für uns anknüpfbar zu machen, sehr gering (3D kann importiert werden und für die Funktionalität des Einkaufens bieten wir eine eigene Lösung an).
- Es ist unser Ziel, connect zum größten VR-Netzwerk der Welt zu entwickeln, also so flexibel erweiterbar, dass möglichst jeder VR-Inhalt mit unserer VR-Welt verbunden werden kann. Wir haben hier sehr viel Zeit und Geld in die Entwicklung eines plattformunabhängigen, modularen Systems gesteckt, das diesen Anforderungen besser als jeder Mitbewerber gerecht werden kann. Details bitte persönlich besprechen. 
- VR-Shopping wird langfristig einen ähnlich großen Markt wie Online-Shopping erzielen und wenn es uns gelingt, DIE Anlaufstelle für VR-Shops zu werden, um an neue Kunden zu kommen, dann wird dieses Geschäftsmodell mit Abstand alle übrigen (ohnehin bereits sehr lukrativen) in den Schatten stellen. 
- Kein Mensch lädt eine eigene Software herunter, registriert sich extra, stellt Bezahlmöglichkeiten ein, kümmert sich um Updates, Patches und Geräteinkompatibilitäten, nur, um Zugang zu einem VR-Shop zu erhalten, dessen Anbieter er nicht einmal kennt. Die User müssen komplett ohne Aufwand auf die Idee gebracht werden, dass es diese Produkte in VR zu kaufen gibt und sie ihrem Interesse entsprechen. Sie laufen durch eine virtuelle Stadt, wo jene Shops, die sie speziell interessieren, instanziert werden, oder sie bekommen Vorschläge am virtuellen Fernseher (wie TV-Sender) und teleportieren sich rein.
- Jeder Anbieter eines VR-Shops wird auf eine Vermittlung wie die unsere angewiesen sein, um an Kunden zu kommen. Menschen kaufen auch lieber bei Amazon ein, als den Online-Shop eines unbekannten kleines Anbieters zu suchen, zu finden und sich dort anzumelden. In VR ist der Aufwand noch viel höher, weil eine 3D-Shop-Umgebung manuell heruntergeladen und installiert werden müsste, anstatt über uns automatisch verknüpft zu werden.
- Eine Steigerung um rund 10 Cent pro Quartal ist realistisch, das entspräche bei 5% Provision einem Anwachsen der durchschnittlichen monatlichen Shopping-Ausgaben um 2 € (bzw. 8 € pro Jahr). Verglichen mit den Einkünften durch Online-Shopping, ist das sehr vorsichtig.
- VR-Shops haben werden langfristig deutlich beliebter sein, als Online-Shops, weil der User seine Einkäufe an seinem virtuellen Avatar (Spielfigur) in fotorealistischer Grafik erproben kann. Z.B. sammelt eine Frau hunderte virtuelle Schuhe aus VR-Shops in ihrem virtuellen Zuhause, probiert diese mit ihrem Avatar (der aussieht, wie sie) an und bestellt ihre Lieblingsschuhe dann direkt über connect bzw. den angebundenen VR-Shop. Darüber kann jedes Produkt in VR von allen Seiten betrachtet werden und der User kann damit interagieren, z.B. Kamera-Funktionen ausprobieren oder aus verschiedenen Modellen wählen (z.B. verschiedene Materialien, Farben etc.). Die VR-Welt ist auch übersichtlicher und virtuell erprobte Produkte lassen sich in VR Freunden zeigen, was zu Feedback und Bestätigung ("Ja, das Kleid steht dir!") führt. </t>
        </r>
      </text>
    </comment>
    <comment ref="D24" authorId="0">
      <text>
        <r>
          <rPr>
            <b/>
            <sz val="9"/>
            <color indexed="81"/>
            <rFont val="Tahoma"/>
            <family val="2"/>
          </rPr>
          <t>Michael Schöggl:</t>
        </r>
        <r>
          <rPr>
            <sz val="9"/>
            <color indexed="81"/>
            <rFont val="Tahoma"/>
            <family val="2"/>
          </rPr>
          <t xml:space="preserve">
- Der Schätzwert zu Frage 7 (Einnahmen durch 2.3, 2.4 und 2.5) wird gleichmäßig auf 2.3, 2.4 und 2.5 aufgeteilt. In Wirklichkeit wird die Verteilung zwar ziemlich sicher nicht gleichmäßig sein, aber für das Ergebnis ist das irrelevant.</t>
        </r>
      </text>
    </comment>
    <comment ref="A25" authorId="0">
      <text>
        <r>
          <rPr>
            <b/>
            <sz val="9"/>
            <color indexed="81"/>
            <rFont val="Tahoma"/>
            <family val="2"/>
          </rPr>
          <t>Michael Schöggl:</t>
        </r>
        <r>
          <rPr>
            <sz val="9"/>
            <color indexed="81"/>
            <rFont val="Tahoma"/>
            <family val="2"/>
          </rPr>
          <t xml:space="preserve">
- Alle Product Placement Objekte in connect sollen ab 2021 auch gekauft werden können. Wir sprechen bereits mit Wirecard bezüglich Bezahlsystem und Kooperation. 
- Eine Zusammenarbeit mit Amazon (für die Logistik) wäre perfekt, ansonsten könnten wir auch nur vermitteln und der Produzent übernimmt selbst den Versand. Wir würden dann direkt zwischen Produzent und Konsument vermitteln, Provision verdienen, den Zwischenhandel ausschalten und den Versand den Unternehmen (oder Amazon) überlassen. 
- Wir rechnen mit 10% an Provision (dieser Richtwert muss erst von Experten geprüft werden, aber wenn der gesamte Zwischenhandel wegfällt und nur der Vertrieb übrig bleibt, sollte das mehr als fair sein).
- Langfristig können praktisch alle Produkte in unserer VR-Welt repräsentiert werden, entweder im virtuellen Zuhause (mit Büro) der User (auch im echten Zuhause lassen sich 95% aller Konsum-Produkte im Zuhause oder Büro finden) oder in Social Places, wie z.B. Bar, Kino, Shop, Stadt, Urlaubsziel etc.
- Vorteil: Im echten Leben wäre es sehr aufwendig, kostspielig und aufgrund mangelnder Informationen kaum schaffbar, genau jene Produkte, die unsere User interessieren, dort virtuell zu platzieren, wo sie schnell und unaufdringlich wahrgenommen werden. In VR ist das kinderleicht. 
- Die Objekte hätten dieselbe Funktion wie im realen Leben (damit der Zugang spielerisch ist und der User häufig interagiert) und der User könnte frei entscheiden, welche Produkte auftauchen dürfen (bzw. er direkt selbst auswählt und platziert) und welche nicht (damit es keine aufdringliche Werbung ist - gilt natürlich nicht für Social Places).
- User richten ihr virtuelles Zuhause mit virtuellen Gegenständen ein, die sie jederzeit direkt bestellen können - oder sie können in connect einstellen, wann welche Markenprodukte automatisch geliefert werden sollen, z.B. wenn das Klopapier ausgeht. Die Darstellung eines Mangels könnte im VR-Zuhause mit dem realen Zuhause übereinstimmen.</t>
        </r>
      </text>
    </comment>
    <comment ref="B25" authorId="0">
      <text>
        <r>
          <rPr>
            <b/>
            <sz val="9"/>
            <color indexed="81"/>
            <rFont val="Tahoma"/>
            <family val="2"/>
          </rPr>
          <t>Michael Schöggl:</t>
        </r>
        <r>
          <rPr>
            <sz val="9"/>
            <color indexed="81"/>
            <rFont val="Tahoma"/>
            <family val="2"/>
          </rPr>
          <t xml:space="preserve">
</t>
        </r>
        <r>
          <rPr>
            <b/>
            <sz val="9"/>
            <color indexed="81"/>
            <rFont val="Tahoma"/>
            <family val="2"/>
          </rPr>
          <t>Wieviel € pro User nehmen wir durch Provision für den Einkauf von Product Placement Produkten innerhalb unserer eigenen VR-Inhalte ein?</t>
        </r>
        <r>
          <rPr>
            <sz val="9"/>
            <color indexed="81"/>
            <rFont val="Tahoma"/>
            <family val="2"/>
          </rPr>
          <t xml:space="preserve">
</t>
        </r>
        <r>
          <rPr>
            <u/>
            <sz val="9"/>
            <color indexed="81"/>
            <rFont val="Tahoma"/>
            <family val="2"/>
          </rPr>
          <t>Begründung für diesen Wert</t>
        </r>
        <r>
          <rPr>
            <sz val="9"/>
            <color indexed="81"/>
            <rFont val="Tahoma"/>
            <family val="2"/>
          </rPr>
          <t>:
- Im Gegensatz zur Provision, wenn User in einem fremden VR-Shop einkaufen, bezieht sich diese Provision auf den Einkauf von Produkten, die direkt in den virtuellen Szenen, die wir selbst anbieten, positioniert waren. 
- Zu Beginn, mit 2021, wird nur ein Teil der Product Placement Partner bereit sein, dieser Erweiterung auf In-App-Käufe zuzustimmen (schließlich müssen wir zeigen, dass sich der Aufwand lohnt). Durch erste Erfolgszahlen werden sich immer mehr überzeugen lassen. Wir rechnen also mit einem langsamen Start. 
- Es ist sehr schwer abzuschätzen, wieviele unserer User direkt über connect einkaufen werden. Über das Internet kaufen Menschen sehr gerne ein, ebenso über Amazon. Wenn es uns gelingen würde, zu einem der beliebtesten Einkaufsorte in VR zu werden, würden wir mit ca. 5-20 € pro User und Jahr (nicht Monat) rechnen können. Realistisch ist jedoch weiteraus weniger:
- Schätzwert 2021: Jeder 100ste User kauft einmal im Jahr über uns ein Produkt um durchschnittlich 100 € (die meisten Produkte, wie Möbel, technische Geräte etc. sind teurer) und wir erhalten 10% Provision daran. Das entspräche nicht ganz 1 Cent pro User und Monat, unser Startwert.</t>
        </r>
      </text>
    </comment>
    <comment ref="C25" authorId="0">
      <text>
        <r>
          <rPr>
            <b/>
            <sz val="9"/>
            <color indexed="81"/>
            <rFont val="Tahoma"/>
            <family val="2"/>
          </rPr>
          <t>Michael Schöggl:</t>
        </r>
        <r>
          <rPr>
            <sz val="9"/>
            <color indexed="81"/>
            <rFont val="Tahoma"/>
            <family val="2"/>
          </rPr>
          <t xml:space="preserve">
</t>
        </r>
        <r>
          <rPr>
            <b/>
            <sz val="9"/>
            <color indexed="81"/>
            <rFont val="Tahoma"/>
            <family val="2"/>
          </rPr>
          <t>Um wieviel € pro Quartal steigern sich die Einnahmen durch Provision für den Verkauf von Produkten direkt innerhalb der connect VR-Umgebung?</t>
        </r>
        <r>
          <rPr>
            <sz val="9"/>
            <color indexed="81"/>
            <rFont val="Tahoma"/>
            <family val="2"/>
          </rPr>
          <t xml:space="preserve">
</t>
        </r>
        <r>
          <rPr>
            <u/>
            <sz val="9"/>
            <color indexed="81"/>
            <rFont val="Tahoma"/>
            <family val="2"/>
          </rPr>
          <t>Begründung für diesen Wert</t>
        </r>
        <r>
          <rPr>
            <sz val="9"/>
            <color indexed="81"/>
            <rFont val="Tahoma"/>
            <family val="2"/>
          </rPr>
          <t>:
- Schätzwert 2021: Jeder 100ste User kauft einmal im Jahr über uns ein Produkt um durchschnittlich 100 € (die meisten Produkte, wie Möbel, technische Geräte etc. sind teurer) und wir erhalten 10% Provision daran. Das entspräche nicht ganz 1 Cent pro User und Monat, unser Startwert.
- Schätzwerte 2024: Jeder 10te User kauft pro Jahr über connect Produkte im Wert von 300 €, wir erhalten 10% Provision. Das entspräche 0,25 € pro User und Monat, unser Zielwert. 
- Langfristig können wir die Einnahmen über dieses Geschäftsmodell deutlich steigern, wenn unsere VR-Welt wächst (also unsere User auch virtuelle Kinokarten, Reisen, Flüge, Gutscheine, Möbel, Geschenke, Dekoration, etc. kaufen) oder wenn wir dieses Geschäftsmodell um Essens-Lieferservices oder Abos für Alltags-Konsumgüter bzw. Lebensmittel erweitern. 
- Beispiel 1: Wir bieten einen eigenen Lieferservice an, bei dem der User auf einer virtuellen Karte am Schreibtisch die Position der Lieferung verfolgen kann. Die Auswahl der Speisen erfolgt über virtuelle Darstellungen derselben (z.B. auf einem Teller am Schreibtisch). Wir bauen ein automatisches System, wo jedes Restaurant sich einfach anmelden kann und wir übernehmen die Lieferung (durch Studenten, die mit einer App den kürzesten Weg angezeigt bekommen und mit dem eigenen Auto für alle Restaurants im Einzugsgebiet gleichermaßen arbeiten). 
- Beispiel 2: Beim virtuellen Kühlschrank stelle ich ein, welche Produkte in welcher Menge im echten Kühlschrank aufzufinden sein sollen - und bevor sie vollständig aufgebraucht werden (oder spätestens danach), wird automatisch Nachschub geliefert. Dasselbe für den Inhalt von Regalen, für Drogerieprodukte, Tierfutter etc.
- Es gibt endlos viele Möglichkeiten, mit einer virtuellen Welt Geld zu verdienen, aber diese langfristigen Ideen (Beispiel 1 und 2) fließen nicht in unsere Prognose ein, dafür sind sie viel zu zukunftsfern. Daher rechnen wir zunächst mit 1 Cent bis knapp 25 Cent pro User und Monat, bzw. mit einer Steigerung um 2 Cent pro Quartal.</t>
        </r>
      </text>
    </comment>
    <comment ref="D25" authorId="0">
      <text>
        <r>
          <rPr>
            <b/>
            <sz val="9"/>
            <color indexed="81"/>
            <rFont val="Tahoma"/>
            <family val="2"/>
          </rPr>
          <t>Michael Schöggl:</t>
        </r>
        <r>
          <rPr>
            <sz val="9"/>
            <color indexed="81"/>
            <rFont val="Tahoma"/>
            <family val="2"/>
          </rPr>
          <t xml:space="preserve">
- Der Schätzwert zu Frage 7 (Einnahmen durch 2.3, 2.4 und 2.5) wird gleichmäßig auf 2.3, 2.4 und 2.5 aufgeteilt. In Wirklichkeit wird die Verteilung zwar ziemlich sicher nicht gleichmäßig sein, aber für das Ergebnis ist das irrelevant.</t>
        </r>
      </text>
    </comment>
    <comment ref="A26" authorId="0">
      <text>
        <r>
          <rPr>
            <b/>
            <sz val="9"/>
            <color indexed="81"/>
            <rFont val="Tahoma"/>
            <family val="2"/>
          </rPr>
          <t>Michael Schöggl:</t>
        </r>
        <r>
          <rPr>
            <sz val="9"/>
            <color indexed="81"/>
            <rFont val="Tahoma"/>
            <family val="2"/>
          </rPr>
          <t xml:space="preserve">
- Medien können ein monatliches Abo bezahlen, um an Big Data Informationen zu kommen.
- Zu Beginn werden nur wenige Medien dieses Abo verwenden, aber je mehr User wir haben, umso mehr Medien werden in connect vertreten sein und umso mehr Medien werden auch diese verhältnismäßig moderaten Kosten gerne bezahlen, um mehr Informationen über ihre Rezipienten zu erhalten. 
- Diese Informationen helfen den Medien, die Werbeerträge zu steigern, weil sie die gewonnenen Informationen auch ihren Werbepartnern weitergeben können. Somit macht sich ein Abo auf jeden Fall schnell bezahlt.
- Wir würden die Kosten so gestalten, dass sie basierend auf Erfahrungswerten den Medien einen netten Gewinn ermöglichen, wenn sie die User-Daten an die Werbepartner weiterverkaufen. 
- Wir rechnen damit, dass jedem Werbepartner die anonymisierten Daten über jeden erreichten Konsumenten rund 0,5 Cent wert sind (also 500 Euro bei 100.000 erreichten Kunden), wir davon 0,2 Cent verlangen können (0,3 Cent gehen an die Medienpartner und motivieren sie zu diesem "Abo") und dass unsere User im Monat rund 50 Werbungen in connect konsumieren. Das bedeutet Einnahmen in Höhe von rund 10 Cent pro User und Monat langfristig. 
</t>
        </r>
      </text>
    </comment>
    <comment ref="B26" authorId="0">
      <text>
        <r>
          <rPr>
            <b/>
            <sz val="9"/>
            <color indexed="81"/>
            <rFont val="Tahoma"/>
            <family val="2"/>
          </rPr>
          <t xml:space="preserve">Michael Schöggl:
Wieviel € pro Monat und User verdienen wir im Schnitt mit unserem Medien-Abo?
</t>
        </r>
        <r>
          <rPr>
            <u/>
            <sz val="9"/>
            <color indexed="81"/>
            <rFont val="Tahoma"/>
            <family val="2"/>
          </rPr>
          <t xml:space="preserve">
Begründung für diesen Wert</t>
        </r>
        <r>
          <rPr>
            <sz val="9"/>
            <color indexed="81"/>
            <rFont val="Tahoma"/>
            <family val="2"/>
          </rPr>
          <t xml:space="preserve">: </t>
        </r>
        <r>
          <rPr>
            <b/>
            <sz val="9"/>
            <color indexed="81"/>
            <rFont val="Tahoma"/>
            <family val="2"/>
          </rPr>
          <t xml:space="preserve">
</t>
        </r>
        <r>
          <rPr>
            <sz val="9"/>
            <color indexed="81"/>
            <rFont val="Tahoma"/>
            <family val="2"/>
          </rPr>
          <t xml:space="preserve">
- Wir rechnen damit, dass jedem Werbepartner die anonymisierten Daten über jeden erreichten Konsumenten rund 0,5 Cent wert sind (also 500 Euro bei 100.000 erreichten Kunden). 
- Davon sind 0,2 Cent für uns und 0,3 Cent gehen an die Medienpartner und motivieren sie zu Abschluss dieses "Abos".
- Unsere User werden im Monat im Schnitt zwischen 50 (Beginn) und 300 (langfristig) Werbbeiträge in Medien (Video, Audio, Internet, Print) konsumieren. Das bedeutet Einnahmen in Höhe von rund 10 bis 60 Cent pro Monat und User. 
- Für unsere Prognose starten wir vorsichtig mit 0,01 €, weil es eine Zeit dauern wird, bis unsere Medienpartner vom Abo überzeugt sind und es genügend Medien-Inhalte in connect gibt, sodass auch genügend Werbung darin enthalten ist, um diese Werte (50 pro Monat) zu erreichen.</t>
        </r>
      </text>
    </comment>
    <comment ref="C26" authorId="0">
      <text>
        <r>
          <rPr>
            <b/>
            <sz val="9"/>
            <color indexed="81"/>
            <rFont val="Tahoma"/>
            <family val="2"/>
          </rPr>
          <t>Michael Schöggl:</t>
        </r>
        <r>
          <rPr>
            <sz val="9"/>
            <color indexed="81"/>
            <rFont val="Tahoma"/>
            <family val="2"/>
          </rPr>
          <t xml:space="preserve">
</t>
        </r>
        <r>
          <rPr>
            <b/>
            <sz val="9"/>
            <color indexed="81"/>
            <rFont val="Tahoma"/>
            <family val="2"/>
          </rPr>
          <t>Um wieviel € pro Quartal werden sich die monatlichen Einnahmen durch das Medien-Abo erhöhen?</t>
        </r>
        <r>
          <rPr>
            <sz val="9"/>
            <color indexed="81"/>
            <rFont val="Tahoma"/>
            <family val="2"/>
          </rPr>
          <t xml:space="preserve">
</t>
        </r>
        <r>
          <rPr>
            <u/>
            <sz val="9"/>
            <color indexed="81"/>
            <rFont val="Tahoma"/>
            <family val="2"/>
          </rPr>
          <t>Begründung für diesen Wert</t>
        </r>
        <r>
          <rPr>
            <sz val="9"/>
            <color indexed="81"/>
            <rFont val="Tahoma"/>
            <family val="2"/>
          </rPr>
          <t>:
- Wir schätzen hier sehr vorsichtig, auch wenn wir langfristig bis zu 60 Cent pro User und Monat durch diesen Zugang einnehmen könnten. 
- Der Erfolg dieses Geschäftsmodells ist viel stärker, als der unserer anderen Einnahmequellen unsicher und schwer durch Vergleiche mit anderen Produkten abschätzbar. Dass ein Freemium-Modell funktioniert, haben tausende Apps bewiesen, ebenso, dass Product Placement funktionieren wird. Big Data hat zwar auch eine erfolgreiche Geschichte, aber in dieser Zugang über ein Abosystem ist relativ neu. 
- Es ist gut möglich, dass wir über dieses Geschäftsmodell deutlich mehr einnehmen können, als nun prognostiziert, aber es ist ebenso gut möglich, dass der Zugang überhaupt nicht funktioniert. Immerhin ist die Medienschnittstelle grundsätzlich kostenlos und ein optionales Abo mit Extrakosten muss sich erst durchsetzen. Der Mehrwert von Big Data Informationen für die Werbetreibenden zuerst und dann in Folge für die Medienpartner müsste erst bewiesen werden.</t>
        </r>
      </text>
    </comment>
    <comment ref="A27" authorId="0">
      <text>
        <r>
          <rPr>
            <b/>
            <sz val="9"/>
            <color indexed="81"/>
            <rFont val="Tahoma"/>
            <family val="2"/>
          </rPr>
          <t>Michael Schöggl:</t>
        </r>
        <r>
          <rPr>
            <sz val="9"/>
            <color indexed="81"/>
            <rFont val="Tahoma"/>
            <family val="2"/>
          </rPr>
          <t xml:space="preserve">
- Sehr langfristig (geplant ab 2021) können wir in der immer größer werdenden connect-Welt (erweitert durch Inhalte von Partnern, Drittanbietern und später vllt sogar der User selbst) auch virtuelle Grundstücke (z.B. an VR-Shops aber auch an User) verkaufen. 
- Ähnliches hat Second Life gemacht und das Interesse für Businesspartner war größer, als der tatsächliche Nutzen. Daher werden nun Business-Partner durch diese Lektion eher vorsichtig sein und es wird etwas dauern, bis sich dieser Zugang durchsetzt. 
- Wir listen hier dieses Geschäftsmodell auf, um bei sehr optimistischen Prognosen Einnahmen darstellen zu können, 
rechnen in einer realistischen Prognose aber nicht damit (0). 
- Zwischen der ersten Facebook Homepage und dem, was Facebook heute ist, besteht ein riesen Unterschied. Und auch connect wird sich bei Erfolg gewaltig weiterentwickeln und bestimmt längerfristig neue Geschäftsmodelle wie jenes des Verkaufs von virtuellen Grundstücken, bezahlten Teleportationen in einer riesigen Welt oder dem Kauf von Avataren (Spielerfiguren) oder deren Ausrüstung eröffnen. Aber es ist zu gewagt, diese Einnahmen jetzt schon unter der Bezeichnung "realistische Prognose" abzuschätzen.</t>
        </r>
      </text>
    </comment>
    <comment ref="B27" authorId="0">
      <text>
        <r>
          <rPr>
            <b/>
            <sz val="9"/>
            <color indexed="81"/>
            <rFont val="Tahoma"/>
            <family val="2"/>
          </rPr>
          <t>Michael Schöggl:</t>
        </r>
        <r>
          <rPr>
            <sz val="9"/>
            <color indexed="81"/>
            <rFont val="Tahoma"/>
            <family val="2"/>
          </rPr>
          <t xml:space="preserve">
</t>
        </r>
        <r>
          <rPr>
            <b/>
            <sz val="9"/>
            <color indexed="81"/>
            <rFont val="Tahoma"/>
            <family val="2"/>
          </rPr>
          <t>Wieviel € könnten wir langfristig mit dem Verkauf von virtuellen Grundstücken, Avataren, Ausrüstungen oder Teleportationen in einer riesigen VR-Welt verdienen?</t>
        </r>
        <r>
          <rPr>
            <sz val="9"/>
            <color indexed="81"/>
            <rFont val="Tahoma"/>
            <family val="2"/>
          </rPr>
          <t xml:space="preserve">
</t>
        </r>
        <r>
          <rPr>
            <u/>
            <sz val="9"/>
            <color indexed="81"/>
            <rFont val="Tahoma"/>
            <family val="2"/>
          </rPr>
          <t>Begründung für diesen Wert</t>
        </r>
        <r>
          <rPr>
            <sz val="9"/>
            <color indexed="81"/>
            <rFont val="Tahoma"/>
            <family val="2"/>
          </rPr>
          <t xml:space="preserve">:
- Zu viele Voraussetzungen, zeitlich zu weit entfernt, zu viele Unsicherheiten, zu wenig Vergleiche - daher gehen wir für die realistische Prognose von 0 Einnahmen aus. </t>
        </r>
      </text>
    </comment>
    <comment ref="C27" authorId="0">
      <text>
        <r>
          <rPr>
            <b/>
            <sz val="9"/>
            <color indexed="81"/>
            <rFont val="Tahoma"/>
            <family val="2"/>
          </rPr>
          <t>Michael Schöggl:</t>
        </r>
        <r>
          <rPr>
            <sz val="9"/>
            <color indexed="81"/>
            <rFont val="Tahoma"/>
            <family val="2"/>
          </rPr>
          <t xml:space="preserve">
</t>
        </r>
        <r>
          <rPr>
            <b/>
            <sz val="9"/>
            <color indexed="81"/>
            <rFont val="Tahoma"/>
            <family val="2"/>
          </rPr>
          <t>Um wieviel € pro Quartal könnten sich die Einnahmen durch den Verkauf von virtuellen Grundstücken, Avataren, Ausrüstungen oder Teleportationen in einer riesigen VR-Welt erhöhen?</t>
        </r>
        <r>
          <rPr>
            <sz val="9"/>
            <color indexed="81"/>
            <rFont val="Tahoma"/>
            <family val="2"/>
          </rPr>
          <t xml:space="preserve">
</t>
        </r>
        <r>
          <rPr>
            <u/>
            <sz val="9"/>
            <color indexed="81"/>
            <rFont val="Tahoma"/>
            <family val="2"/>
          </rPr>
          <t>Begründung für diesen Wert</t>
        </r>
        <r>
          <rPr>
            <sz val="9"/>
            <color indexed="81"/>
            <rFont val="Tahoma"/>
            <family val="2"/>
          </rPr>
          <t xml:space="preserve">:
- Zu viele Annahmen, zeitlich zu weit entfernt, zu viele Unsicherheiten, zu wenig Vergleiche - daher gehen wir für die realistische Prognose von 0 Einnahmen aus. </t>
        </r>
      </text>
    </comment>
    <comment ref="A28" authorId="0">
      <text>
        <r>
          <rPr>
            <b/>
            <sz val="9"/>
            <color indexed="81"/>
            <rFont val="Tahoma"/>
            <family val="2"/>
          </rPr>
          <t>Michael Schöggl:</t>
        </r>
        <r>
          <rPr>
            <sz val="9"/>
            <color indexed="81"/>
            <rFont val="Tahoma"/>
            <family val="2"/>
          </rPr>
          <t xml:space="preserve">
- User werden ab ca. 2022 die Möglichkeit haben, eigene Medien "zu verlegen". Es können sich Gruppen bilden, die gemeinsam einen Fernseh- oder Radiokanal "bespielen", es wird die Möglichkeit geben, themenspezifische Artikel zu schreiben, die dann in virtuellen Zeitungen veröffentlicht werden, etc. 
- Wir überlasses es komplett dem freien Markt, welche neuen Medien mit welchen Inhalten oder Mitarbeitern und welchen Regeln (unentgeltlich, bezahlt, etc.) entstehen. Wir werden einen Baukasten anbieten, damit alle Einstellungen möglich sind - von Bezahlung pro Artikel bis hin zu Systemen, bei denen jeder Medienmitarbeiter abhängig von der Reichweite, Beliebtheit oder Bewertung seiner Beiträge einen Anteil der Werbeeinnahmen erhält.
- Nicht nur, aber vor allem in Video-Medien (Fernsehsender, Videoblog, etc.) werden unsere User bei Interesse Werbung schalten können und damit Geld verdienen können (vgl. YouTube, nur nicht als One-Man-Show, sondern als freies Unternehmen mit automatisierten Regeln). 
- Wir würden einen Anteil der Werbeeinnahmen in Höhe von ca. 30% verlangen. Eventuell sogar deutlich mehr, wie bei YouTube, wo keine/wenig Transparenz herrscht, aber die YouTuber bestimmt deutlich weniger als 70% erhalten. 
- Vergleiche mit YouTube und Co zeigen, dass wir bei starkem Interesse an diesen "frei gewachsenen Medien" auch rund 0,3 bis 2 Euro pro User und Monat einnehmen könnten, aber dieses Geschäftsmodell ist zu weit von der Realisierung entfernt, um in der realistischen Prognose Einnahmen zu erwarten.</t>
        </r>
      </text>
    </comment>
    <comment ref="B28" authorId="0">
      <text>
        <r>
          <rPr>
            <b/>
            <sz val="9"/>
            <color indexed="81"/>
            <rFont val="Tahoma"/>
            <family val="2"/>
          </rPr>
          <t>Michael Schöggl:</t>
        </r>
        <r>
          <rPr>
            <sz val="9"/>
            <color indexed="81"/>
            <rFont val="Tahoma"/>
            <family val="2"/>
          </rPr>
          <t xml:space="preserve">
</t>
        </r>
        <r>
          <rPr>
            <b/>
            <sz val="9"/>
            <color indexed="81"/>
            <rFont val="Tahoma"/>
            <family val="2"/>
          </rPr>
          <t xml:space="preserve">
Wieviel € pro User nehmen wir im Monat durch einen Anteil der Werbeeinnahmen der usergenerierten Medien ein?</t>
        </r>
        <r>
          <rPr>
            <sz val="9"/>
            <color indexed="81"/>
            <rFont val="Tahoma"/>
            <family val="2"/>
          </rPr>
          <t xml:space="preserve">
</t>
        </r>
        <r>
          <rPr>
            <u/>
            <sz val="9"/>
            <color indexed="81"/>
            <rFont val="Tahoma"/>
            <family val="2"/>
          </rPr>
          <t>Begründung für diesen Wert</t>
        </r>
        <r>
          <rPr>
            <sz val="9"/>
            <color indexed="81"/>
            <rFont val="Tahoma"/>
            <family val="2"/>
          </rPr>
          <t>:
- Dieses Geschäftsmodell (vergleichbar mit YouTube bzw. Twitch, nur erweitert auf Audio, Print, Internet, VR und erweitert um ganze Unternehmenstrukturen statt Einzel-Accounts) ist noch zu weit von der Realisierung entfernt (ab 2022), daher gehen wir aktuell von 0 Einnahmen aus.</t>
        </r>
      </text>
    </comment>
    <comment ref="C28" authorId="0">
      <text>
        <r>
          <rPr>
            <b/>
            <sz val="9"/>
            <color indexed="81"/>
            <rFont val="Tahoma"/>
            <family val="2"/>
          </rPr>
          <t>Michael Schöggl:</t>
        </r>
        <r>
          <rPr>
            <sz val="9"/>
            <color indexed="81"/>
            <rFont val="Tahoma"/>
            <family val="2"/>
          </rPr>
          <t xml:space="preserve">
</t>
        </r>
        <r>
          <rPr>
            <b/>
            <sz val="9"/>
            <color indexed="81"/>
            <rFont val="Tahoma"/>
            <family val="2"/>
          </rPr>
          <t>Um wieviel € pro Quartal wird sich der Anteil an den monatlichen Werbeeinnahmen durch usergenerierte Medien erhöhen?</t>
        </r>
        <r>
          <rPr>
            <sz val="9"/>
            <color indexed="81"/>
            <rFont val="Tahoma"/>
            <family val="2"/>
          </rPr>
          <t xml:space="preserve">
</t>
        </r>
        <r>
          <rPr>
            <u/>
            <sz val="9"/>
            <color indexed="81"/>
            <rFont val="Tahoma"/>
            <family val="2"/>
          </rPr>
          <t>Begründung für diesen Wert</t>
        </r>
        <r>
          <rPr>
            <sz val="9"/>
            <color indexed="81"/>
            <rFont val="Tahoma"/>
            <family val="2"/>
          </rPr>
          <t>:
- Dieses Geschäftsmodell (vergleichbar mit YouTube bzw. Twitch, nur erweitert auf Audio, Print, Internet, VR und erweitert um ganze Unternehmenstrukturen statt Einzel-Accounts) ist noch zu weit von der Realisierung entfernt (ab 2022), daher gehen wir aktuell von 0 Einnahmen aus.</t>
        </r>
      </text>
    </comment>
    <comment ref="A29" authorId="0">
      <text>
        <r>
          <rPr>
            <b/>
            <sz val="9"/>
            <color indexed="81"/>
            <rFont val="Tahoma"/>
            <family val="2"/>
          </rPr>
          <t>Michael Schöggl:</t>
        </r>
        <r>
          <rPr>
            <sz val="9"/>
            <color indexed="81"/>
            <rFont val="Tahoma"/>
            <family val="2"/>
          </rPr>
          <t xml:space="preserve">
- Wir haben die Möglichkeit, z.B. Product Placement Partnern anzubieten, dass diese für eine einmalige Pauschale für einen gewissen Zeitraum oder eine konkret festgelegte Werbeleistung ihre Product Placement Werbung kostenlos erhalten. 
- Für die Unternehmen würde sich das eventuell lohnen, weil sie so - durch ihren Vertrauensvorschuss in unsere Leistung - ein deutlich günstigeres, besseres Angebot erhalten könnten, als andere Partner. 
- Für uns würden diese höheren Einnahmen die Basis für mehr Werbekapital und dadurch mehr Wachstum bieten und sich insofern auch lohnen, auch wenn wir langfristig rein durch die Product Placement Gebühr weniger einnehmen sollten. Sobald wir genügend User haben, dass das Vertrauen in unsere Plattform vorhanden ist, wäre dieser Zugang eine gute Lösung um schnell Einnahmen zu generieren, wenn dies aus irgendwelchen Gründen Sinn macht bzw. wir schnell Kapital benötigen. 
- Diese Zeile gilt auch für Einnahmen durch einmalige Werbeaktionen (z.B. Flyer am virtuellen Schreibtisch, Spiderman schwingt durch die virtuelle Stadt und klatscht gegen das Fenster, Trailer von Filmen am virtuellen Fernseher anzeigen, etc.).
- Wir haben hier keinen Wert eingesetzt, beim Eintragen eines Wertes bitte beachten, dass dieser ausnahmsweise für das gesamte Quartal und nicht für jeden Monat gilt. </t>
        </r>
      </text>
    </comment>
    <comment ref="B29" authorId="0">
      <text>
        <r>
          <rPr>
            <b/>
            <sz val="9"/>
            <color indexed="81"/>
            <rFont val="Tahoma"/>
            <family val="2"/>
          </rPr>
          <t xml:space="preserve">Michael Schöggl:
</t>
        </r>
        <r>
          <rPr>
            <sz val="9"/>
            <color indexed="81"/>
            <rFont val="Tahoma"/>
            <family val="2"/>
          </rPr>
          <t xml:space="preserve">
Bitte die einmaligen Einnahmen durch Partner nur jeweils in der entsprechenden Spalte für die Schätzwerte des jeweiligen Quartals eintragen. Der eingetragene Wert gilt dann für das gesamte Quartal und nicht monatlich.</t>
        </r>
      </text>
    </comment>
    <comment ref="D29" authorId="0">
      <text>
        <r>
          <rPr>
            <b/>
            <sz val="9"/>
            <color indexed="81"/>
            <rFont val="Tahoma"/>
            <family val="2"/>
          </rPr>
          <t xml:space="preserve">Michael Schöggl:
</t>
        </r>
        <r>
          <rPr>
            <sz val="9"/>
            <color indexed="81"/>
            <rFont val="Tahoma"/>
            <family val="2"/>
          </rPr>
          <t xml:space="preserve">
Bitte die einmaligen Einnahmen durch Partner nur jeweils in der entsprechenden Spalte für die Schätzwerte des jeweiligen Quartals eintragen. Der eingetragene Wert gilt dann für das gesamte Quartal und nicht monatlich.</t>
        </r>
      </text>
    </comment>
    <comment ref="A30" authorId="0">
      <text>
        <r>
          <rPr>
            <b/>
            <sz val="9"/>
            <color indexed="81"/>
            <rFont val="Tahoma"/>
            <family val="2"/>
          </rPr>
          <t>Michael Schöggl:</t>
        </r>
        <r>
          <rPr>
            <sz val="9"/>
            <color indexed="81"/>
            <rFont val="Tahoma"/>
            <family val="2"/>
          </rPr>
          <t xml:space="preserve">
Achtung: Bei den Schätzwerten wurden hier die Summen der jeweiligen </t>
        </r>
        <r>
          <rPr>
            <u/>
            <sz val="9"/>
            <color indexed="81"/>
            <rFont val="Tahoma"/>
            <family val="2"/>
          </rPr>
          <t>Quartale</t>
        </r>
        <r>
          <rPr>
            <sz val="9"/>
            <color indexed="81"/>
            <rFont val="Tahoma"/>
            <family val="2"/>
          </rPr>
          <t xml:space="preserve"> angegeben, auch wenn in den Zeilen darüber die Werte pro Monat stehen!
Allgemein gilt: Die Summenwerte mit dunklerem Hintergrund beziehen sich auf die Quartale, die Werte auf hellerem Hintergrund auf die Monate.</t>
        </r>
      </text>
    </comment>
    <comment ref="A32" authorId="0">
      <text>
        <r>
          <rPr>
            <b/>
            <sz val="9"/>
            <color indexed="81"/>
            <rFont val="Tahoma"/>
            <family val="2"/>
          </rPr>
          <t>Michael Schöggl:</t>
        </r>
        <r>
          <rPr>
            <sz val="9"/>
            <color indexed="81"/>
            <rFont val="Tahoma"/>
            <family val="2"/>
          </rPr>
          <t xml:space="preserve">
- Die Schätzung der Kosten ist in manchen Bereichen vermutlich deutlich zu hoch, aber das soll uns einen Sicherheitsspielraum in der Prognose gegeben und nicht so missverstanden werden, dass wir nicht sparsam wirtschaften wollen. 
- Je nach Erfolg (primär gemessen durch die Unterschiede zwischen Realität und Prognose) werden wir bei einer schlechten Entwicklung bei den Ausgaben größere Einsparungen vornehmen, schließlich haben wir beinahe nur Personalkosten, bzw. allgemein sehr flexible Kosten, die mit dem Personal zusammenhängen. 
- Im Worst Case Szenario könnten wir mit weniger als 10.000 € pro Monat "überleben" und die Zeit mit der eigenen, kaum bezahlten Arbeit ausharren, bis unsere Userzahlen und damit auch die Einnahmen entsprechend ansteigen. Wirklich notwendig sind nur die Kosten für einen Software-Entwickler, die Server-Kosten (rund 300 € pro Monat) und die Lebenserhaltungskosten für den Geschäftsführer.
- Im positiven Fall hingegen könnten wir die Ausgaben so stark durch neue Personalkosten anheben, dass wir knapp keine Gewinne machen, damit Steuern sparen und unseren Konkurrenzvorsprung noch stärker ausbauen. Wenn sich abzeichnet, dass jeder neue User deutlich mehr Geld einbringt, als er kostet, wird es vermutlich Sinn machen, auf frühe Gewinne zu verzichten, um weitere Geschäftsmodelle früher aufzubauen, den Markt zu erobern und den Abstand zur Konkurrenz zu vergrößern. Mit mehr Ausgaben können auch mehr In-App-Inhalte geschaffen, oder durch (mehr) Sales-Mitarbeiter mehr Partner oder Medien akquiriert werden, was sehr rasch deutlich mehr bringen würde, als es gekostet hat. 
- Daher - sowohl was positive, als auch negative Entwicklungen betrifft - sind die Ausgaben pro Monat nur als grober Richtwert zu verstehen. Eine Umsatzprognose soll nur eine Hilfestellung sein, aber nicht davon abhalten, je nach Bedarf und Entwicklung flexibel auf die Situation eingehen zu können, um die bestmöglichen Ergebnisse zu erzielen. Durch die einfache Anpassbarkeit der Werte in diesem Spritesheet lassen sich sehr einfach verschiedene Szenarien durchspielen, sobald wir mehr konkrete, reale Werte gemessen haben. Gerade auch was Werbeausgaben betrifft (siehe 3.13 und 3.14) hängt die beste Strategie eindeutig davon ab, wie viel uns jeder neue User kostet (3.12) und wieviel Einnahmen wir mit ihm generieren. Ein schneller Start kann von unvergleichlicher Bedeutung für den Erfolg des Unternehmens sein.</t>
        </r>
      </text>
    </comment>
    <comment ref="A33" authorId="0">
      <text>
        <r>
          <rPr>
            <b/>
            <sz val="9"/>
            <color indexed="81"/>
            <rFont val="Tahoma"/>
            <family val="2"/>
          </rPr>
          <t xml:space="preserve">Michael Schöggl:
</t>
        </r>
        <r>
          <rPr>
            <sz val="9"/>
            <color indexed="81"/>
            <rFont val="Tahoma"/>
            <family val="2"/>
          </rPr>
          <t xml:space="preserve">
- Die Anlageinvestitionen (Büroeinrichtung, EDV, etc.) wurden mit 4%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3" authorId="0">
      <text>
        <r>
          <rPr>
            <b/>
            <sz val="9"/>
            <color indexed="81"/>
            <rFont val="Tahoma"/>
            <family val="2"/>
          </rPr>
          <t xml:space="preserve">Michael Schöggl:
</t>
        </r>
        <r>
          <rPr>
            <sz val="9"/>
            <color indexed="81"/>
            <rFont val="Tahoma"/>
            <family val="2"/>
          </rPr>
          <t xml:space="preserve">
</t>
        </r>
        <r>
          <rPr>
            <b/>
            <sz val="9"/>
            <color indexed="81"/>
            <rFont val="Tahoma"/>
            <family val="2"/>
          </rPr>
          <t>Wie hoch sind die monatlichen Mindestkosten für Anlageinvestitionen?</t>
        </r>
        <r>
          <rPr>
            <sz val="9"/>
            <color indexed="81"/>
            <rFont val="Tahoma"/>
            <family val="2"/>
          </rPr>
          <t xml:space="preserve">
</t>
        </r>
        <r>
          <rPr>
            <u/>
            <sz val="9"/>
            <color indexed="81"/>
            <rFont val="Tahoma"/>
            <family val="2"/>
          </rPr>
          <t>Begründung für diesen Wert</t>
        </r>
        <r>
          <rPr>
            <sz val="9"/>
            <color indexed="81"/>
            <rFont val="Tahoma"/>
            <family val="2"/>
          </rPr>
          <t>:
- Hier haben wir keinen Wert eingetragen, bisher haben sich 3-4% der Personalkosten sehr gut bewehrt. Die Kosten pro Mitarbeiter für einen Arbeitsplatz lagen bei günstigen 1500 €, diese Kosten würden zwar steigen, aber gleichzeitig auch die Gehälter, weshalb sich das wieder ausgleicht. 
Längerfristig wird es bei Erfolg natürlich Sinn machen, ein eigenes Büro zu bauen/kaufen, diese Kosten sind hier nicht berücksichtigt, u.a. auch, weil es dabei um Abschreibposten mit einem bleibenden Verkaufswert handeln würde, die am Ende auch nicht (viel) teurer kommen, als Miete. 
Die Kosten in den Spalten rechts sind monatlich, auf ein Jahr gerechnet werden sie realistisch.</t>
        </r>
      </text>
    </comment>
    <comment ref="C33" authorId="0">
      <text>
        <r>
          <rPr>
            <b/>
            <sz val="9"/>
            <color indexed="81"/>
            <rFont val="Tahoma"/>
            <family val="2"/>
          </rPr>
          <t>Michael Schöggl:</t>
        </r>
        <r>
          <rPr>
            <sz val="9"/>
            <color indexed="81"/>
            <rFont val="Tahoma"/>
            <family val="2"/>
          </rPr>
          <t xml:space="preserve">
</t>
        </r>
        <r>
          <rPr>
            <b/>
            <sz val="9"/>
            <color indexed="81"/>
            <rFont val="Tahoma"/>
            <family val="2"/>
          </rPr>
          <t>Wieviel Prozent der Personalkosten sind für Anlageinvestitionen geplant?</t>
        </r>
        <r>
          <rPr>
            <sz val="9"/>
            <color indexed="81"/>
            <rFont val="Tahoma"/>
            <family val="2"/>
          </rPr>
          <t xml:space="preserve">
</t>
        </r>
        <r>
          <rPr>
            <u/>
            <sz val="9"/>
            <color indexed="81"/>
            <rFont val="Tahoma"/>
            <family val="2"/>
          </rPr>
          <t>Begründung für diesen Wert</t>
        </r>
        <r>
          <rPr>
            <sz val="9"/>
            <color indexed="81"/>
            <rFont val="Tahoma"/>
            <family val="2"/>
          </rPr>
          <t>:
- Aufgrund bisherigen Erfahrungswerte gehen wir von rund 4 % der Personalkosten für Anlageinvestitionen aus (ca. 1500 € bisher pro Arbeitsplatz für Möbel, PC, Monitor, etc.).
- Wenn connect erfolgreich genug ist, wird es irgendwann Sinn machen, ein eigenes Büro zu kaufen oder zu bauen. Aber dann müssten die entsprechenden Werte händisch rechts eingetragen werden, sofern sie nicht als Abschreibung innerhalb der x % pro Personalkosten bleiben.</t>
        </r>
      </text>
    </comment>
    <comment ref="A34" authorId="0">
      <text>
        <r>
          <rPr>
            <b/>
            <sz val="9"/>
            <color indexed="81"/>
            <rFont val="Tahoma"/>
            <family val="2"/>
          </rPr>
          <t>Michael Schöggl:</t>
        </r>
        <r>
          <rPr>
            <sz val="9"/>
            <color indexed="81"/>
            <rFont val="Tahoma"/>
            <family val="2"/>
          </rPr>
          <t xml:space="preserve">
Die Personal- und Outsourcingkosten sind absolut flexibel. Wir könnten auch mit einem Team aus 1,5 Mitarbeitern (1 Senior Developer und 1 Teilzeit-Grafiker) unsere App instandhalten und langsam weiterentwickeln (Kosten: ca. 8.000 € monatlich).
Natürlich macht es aber Sinn, bei positiver wirtschaftlicher Entwicklung das Tempo voranzutreiben, vor allem, wenn jeder neue Mitarbeiter mehr Geld einbringt, als er an Kosten verursacht (z.B. Sales-Mitarbeiter, die lukrative B2B-Partner gewinnen). 
Die hier veranschlagten Personal- und Outsourcing-Kosten richten sich im 1. und 2. Quartal 2020 daran, dass sich connect wie geplant bis Mitte 2020 fertigstellen lässt (rund 30.000 € pro Monat). 
Ab Quartal 3 2020 könnten die Personal- und Outsourcingkosten (bei Bedarf) wieder reduziert werden, bei positiver Entwicklung jedoch würden wir sie konstant um x Prozent der Einnahmen anheben, um unseren Wettbewerbsvorteil zu verteidigen und connect rasch zu verbessern.
Mehr Einnahmen bedeuten in unserem Fall zudem mehr User bzw. B2B-Partner und insofern auch höhere Personal-Kosten für z.B. Support oder Sales. Wir wollen zwar möglichst alle Prozesse automatisieren, aber es macht natürlich Sinn, trotzdem mehr Geld in die Entwicklung zu stecken, wenn der wirtschaftliche Erfolg erkennbar wird. Darum wurden in der Prognose die Personalkosten ab 2021 auch direkt von den Einnahmen abhängig gemacht.</t>
        </r>
      </text>
    </comment>
    <comment ref="B34" authorId="0">
      <text>
        <r>
          <rPr>
            <b/>
            <sz val="9"/>
            <color indexed="81"/>
            <rFont val="Tahoma"/>
            <family val="2"/>
          </rPr>
          <t>Michael Schöggl:</t>
        </r>
        <r>
          <rPr>
            <sz val="9"/>
            <color indexed="81"/>
            <rFont val="Tahoma"/>
            <family val="2"/>
          </rPr>
          <t xml:space="preserve">
</t>
        </r>
        <r>
          <rPr>
            <b/>
            <sz val="9"/>
            <color indexed="81"/>
            <rFont val="Tahoma"/>
            <family val="2"/>
          </rPr>
          <t xml:space="preserve">Um wieviel Prozent der Einnahmen steigen die Personalkosten gegenüber dem Vormonat? 
</t>
        </r>
        <r>
          <rPr>
            <u/>
            <sz val="9"/>
            <color indexed="81"/>
            <rFont val="Tahoma"/>
            <family val="2"/>
          </rPr>
          <t>Begründung für diesen Wert</t>
        </r>
        <r>
          <rPr>
            <sz val="9"/>
            <color indexed="81"/>
            <rFont val="Tahoma"/>
            <family val="2"/>
          </rPr>
          <t>:
- connect könnte mit gleichbleibenden 20.000 € pro Monat an Personalkosten (oder sogar weniger) weiterentwickelt werden. Wir sind bezüglich Personalkosten äußerst flexibel. Selbst sehr erfolgreiche Apps wie WhatsApp hatten jahrelang nur eine Handvoll Mitarbeiter.
- Weil wir aber im Gegensatz zu z.B. WhatsApp sehr schnell Einnahmen haben werden, unseren Wettbewerbsvorteil verteidigen müssen und connect kontinuierlich weiterentwickeln wollen, rechnen wir mit 10% aller Einnahmen an zusätzlichen Personalkosten. Dieser Werte kann beliebig angepasst werden, je nachdem, wie rasch wir connect weiterentwickeln wollen. Zur Leistung unserer Angestellten kommen noch die Leistungen unserer Outsourcing-Partner (siehe 3.11) dazu. 
- Die Berechnung der Personalkosten prozentual zu den Einnahmen erlaubt uns finanzielle Entscheidungen ohne großes Risiko. 
- Auch die Werbekosten und die Outsourcing-Kosten werden prozentual gerechnet, ebenso indirekt Anlageinvestitionen, Material und Betriebsausgaben. Die prozentualen Ausgaben sollen dauerhaft unter den Einnahmen bleiben. Bei den Einnahmen erwarten wir (bis auf übliche jahreszeitabhängige Schwankungen) wenig Fluktuationen bzw. Überraschungen, weil sich durch die Masse der User Zufallseffekte weitestgehend "raus-mitteln". Übrig bleiben primär systematische Fehler, wenn wir es z.B. verabsäumen, neue, attraktive In-App-Käufe nachzuliefern und diese Wahrnehmung von den meisten Usern gleichermaßen geteilt wird.</t>
        </r>
      </text>
    </comment>
    <comment ref="C34" authorId="0">
      <text>
        <r>
          <rPr>
            <b/>
            <sz val="9"/>
            <color indexed="81"/>
            <rFont val="Tahoma"/>
            <family val="2"/>
          </rPr>
          <t>Michael Schöggl:</t>
        </r>
        <r>
          <rPr>
            <sz val="9"/>
            <color indexed="81"/>
            <rFont val="Tahoma"/>
            <family val="2"/>
          </rPr>
          <t xml:space="preserve">
</t>
        </r>
        <r>
          <rPr>
            <b/>
            <sz val="9"/>
            <color indexed="81"/>
            <rFont val="Tahoma"/>
            <family val="2"/>
          </rPr>
          <t xml:space="preserve">Um wieviel Prozent pro Quartal werden die prozentualen Personalsausgaben reduziert? </t>
        </r>
        <r>
          <rPr>
            <sz val="9"/>
            <color indexed="81"/>
            <rFont val="Tahoma"/>
            <family val="2"/>
          </rPr>
          <t xml:space="preserve">
</t>
        </r>
        <r>
          <rPr>
            <u/>
            <sz val="9"/>
            <color indexed="81"/>
            <rFont val="Tahoma"/>
            <family val="2"/>
          </rPr>
          <t>Begründung für diesen Wert</t>
        </r>
        <r>
          <rPr>
            <sz val="9"/>
            <color indexed="81"/>
            <rFont val="Tahoma"/>
            <family val="2"/>
          </rPr>
          <t>:
- Wenn sich connect gut entwickelt, ist es unrealistisch, dass unsere Personalausgaben dauerhaft an x % der Einnahmen angepasst werden. Unsere Ausnahmen müssen/sollen nicht direkt proportional zu den Einnahmen mitsteigen, weil die Entwicklungskosten nicht automatisch höher werden, nur, weil mehr User unsere Entwicklung verwenden. 
- Im Gegensatz zu Facebook und Co wollen wir beim Personal eher klein bleiben und a.) möglichst viel automatisieren, b.) Funktionen, die hohe Kosten durch z.B. Support benötigen, gar nicht erst anbieten, sondern diese c.) unseren Partnern überlassen. 
- Neue Inhalte sollen langfristig primär von unseren Partnern kommen, während wir mit Provision daran mitverdienen. Wir kümmern uns vorrangig um die "Schnittstelle", bzw. die Basisfunktionen, die weniger kosteneffizienten Entwicklungen (wie z.B. aufwendige Inhalte, die nur einmal schnell "durchgespielt" werden), überlassen wir unseren Partnern. 
- Je besser unser Netzwerk ist (Fokus liegt darauf!), umso mehr Partner-Inhalte bekommen wir - und wenn wir das gut machen, besser, als die Konkurrenz, dann wachsen unsere Inhalte durch Partner schneller, als wenn wir sie selbst entwickeln würden. 
- Dieser Zugang ist kostensparend, darum ist davon auszugehen, dass die prozentualen Ausgaben von unseren Einnahmen für das Personal im Laufe der Quartale um den Faktor x sinken werden. Der Großteil des Personals wird wohl aus Evangelisten, Sales- und Service-Mitarbeitern bestehen, aber auch hier wollen wir durch ChatBots, KI, etc. so viel wie möglich automatisieren.</t>
        </r>
      </text>
    </comment>
    <comment ref="A35" authorId="0">
      <text>
        <r>
          <rPr>
            <b/>
            <sz val="9"/>
            <color indexed="81"/>
            <rFont val="Tahoma"/>
            <family val="2"/>
          </rPr>
          <t xml:space="preserve">Michael Schöggl:
</t>
        </r>
        <r>
          <rPr>
            <sz val="9"/>
            <color indexed="81"/>
            <rFont val="Tahoma"/>
            <family val="2"/>
          </rPr>
          <t xml:space="preserve">
- Die Kosten für Material und Waren (z.B. Druckerpapier, Instandhaltung, Büroartikel, etc.) wurden mit 1%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5" authorId="0">
      <text>
        <r>
          <rPr>
            <b/>
            <sz val="9"/>
            <color indexed="81"/>
            <rFont val="Tahoma"/>
            <family val="2"/>
          </rPr>
          <t>Michael Schöggl:</t>
        </r>
        <r>
          <rPr>
            <sz val="9"/>
            <color indexed="81"/>
            <rFont val="Tahoma"/>
            <family val="2"/>
          </rPr>
          <t xml:space="preserve">
</t>
        </r>
        <r>
          <rPr>
            <b/>
            <sz val="9"/>
            <color indexed="81"/>
            <rFont val="Tahoma"/>
            <family val="2"/>
          </rPr>
          <t xml:space="preserve">
Wieviel € pro Monat haben wir an Fixkosten für Material und Waren, unabhängig von der Größe des Teams?</t>
        </r>
        <r>
          <rPr>
            <sz val="9"/>
            <color indexed="81"/>
            <rFont val="Tahoma"/>
            <family val="2"/>
          </rPr>
          <t xml:space="preserve">
</t>
        </r>
        <r>
          <rPr>
            <u/>
            <sz val="9"/>
            <color indexed="81"/>
            <rFont val="Tahoma"/>
            <family val="2"/>
          </rPr>
          <t xml:space="preserve">
Begründung für diesen Wert</t>
        </r>
        <r>
          <rPr>
            <sz val="9"/>
            <color indexed="81"/>
            <rFont val="Tahoma"/>
            <family val="2"/>
          </rPr>
          <t>:
- Wir berechnen die Kosten für Material und Waren (z.B. Bürobedarf) nur relativ zum Personal, da dies einfacher ist und es keine (relevanten) Fixkosten gibt. Allgemein sind diese Werte alle viel zu niedrig, alsdass sich eine nähere Betrachtung lohnen würde.</t>
        </r>
      </text>
    </comment>
    <comment ref="C35" authorId="0">
      <text>
        <r>
          <rPr>
            <b/>
            <sz val="9"/>
            <color indexed="81"/>
            <rFont val="Tahoma"/>
            <family val="2"/>
          </rPr>
          <t>Michael Schöggl:</t>
        </r>
        <r>
          <rPr>
            <sz val="9"/>
            <color indexed="81"/>
            <rFont val="Tahoma"/>
            <family val="2"/>
          </rPr>
          <t xml:space="preserve">
</t>
        </r>
        <r>
          <rPr>
            <b/>
            <sz val="9"/>
            <color indexed="81"/>
            <rFont val="Tahoma"/>
            <family val="2"/>
          </rPr>
          <t>Wieviel Prozent der Personalkosten werden pro Monat für Material und Waren benötigt?</t>
        </r>
        <r>
          <rPr>
            <sz val="9"/>
            <color indexed="81"/>
            <rFont val="Tahoma"/>
            <family val="2"/>
          </rPr>
          <t xml:space="preserve">
</t>
        </r>
        <r>
          <rPr>
            <u/>
            <sz val="9"/>
            <color indexed="81"/>
            <rFont val="Tahoma"/>
            <family val="2"/>
          </rPr>
          <t>Begründung für diesen Wert</t>
        </r>
        <r>
          <rPr>
            <sz val="9"/>
            <color indexed="81"/>
            <rFont val="Tahoma"/>
            <family val="2"/>
          </rPr>
          <t>:
Aufgrund bisherigen Erfahrungswerte gehen wir von rund 1 % der Personalkosten für Büromaterial und kleinere Ausgaben (z.B. Papier, Post, Reinigungsmittel, etc.) aus.</t>
        </r>
      </text>
    </comment>
    <comment ref="A36" authorId="0">
      <text>
        <r>
          <rPr>
            <b/>
            <sz val="9"/>
            <color indexed="81"/>
            <rFont val="Tahoma"/>
            <family val="2"/>
          </rPr>
          <t xml:space="preserve">Michael Schöggl:
</t>
        </r>
        <r>
          <rPr>
            <sz val="9"/>
            <color indexed="81"/>
            <rFont val="Tahoma"/>
            <family val="2"/>
          </rPr>
          <t xml:space="preserve">
- Die Betriebsausgaben (Miete, Strom, Internet, etc.) wurden mit 6%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6" authorId="0">
      <text>
        <r>
          <rPr>
            <b/>
            <sz val="9"/>
            <color indexed="81"/>
            <rFont val="Tahoma"/>
            <family val="2"/>
          </rPr>
          <t>Michael Schöggl:</t>
        </r>
        <r>
          <rPr>
            <sz val="9"/>
            <color indexed="81"/>
            <rFont val="Tahoma"/>
            <family val="2"/>
          </rPr>
          <t xml:space="preserve">
</t>
        </r>
        <r>
          <rPr>
            <b/>
            <sz val="9"/>
            <color indexed="81"/>
            <rFont val="Tahoma"/>
            <family val="2"/>
          </rPr>
          <t>Wieviel € pro Monat haben wir an Fixkosten für Betriebsausgaben, unabhängig von der Größe des Teams?</t>
        </r>
        <r>
          <rPr>
            <sz val="9"/>
            <color indexed="81"/>
            <rFont val="Tahoma"/>
            <family val="2"/>
          </rPr>
          <t xml:space="preserve">
</t>
        </r>
        <r>
          <rPr>
            <u/>
            <sz val="9"/>
            <color indexed="81"/>
            <rFont val="Tahoma"/>
            <family val="2"/>
          </rPr>
          <t>Begründung für diesen Wert</t>
        </r>
        <r>
          <rPr>
            <sz val="9"/>
            <color indexed="81"/>
            <rFont val="Tahoma"/>
            <family val="2"/>
          </rPr>
          <t xml:space="preserve">:
- Im Moment haben wir aufgerundet ca. 1500 € an Betriebskosten, die wir nicht sofort reduzieren können, sondern erst nach Kündigung (z.B. für Miete, Strom, Internet, Lizenzen und ähnliches). Diese Fixkosten würden sich auch nihilieren lassen, aber es würde bis zu 3 Monate dauern. </t>
        </r>
      </text>
    </comment>
    <comment ref="C36" authorId="0">
      <text>
        <r>
          <rPr>
            <b/>
            <sz val="9"/>
            <color indexed="81"/>
            <rFont val="Tahoma"/>
            <family val="2"/>
          </rPr>
          <t xml:space="preserve">Michael Schöggl:
Wieviel Prozent der Personalkosten werden pro Monat für Betriebsausgaben benötigt?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Aufgrund bisherigen Erfahrungswerte gehen wir von rund 6% der Personalkosten für Betriebsausgaben wie z.B. Miete, Strom, Internet, Lizenzen etc. aus.
- So wie die meisten anderen Kosten ist dieser Wert tendenziell zu hoch eingeschätzt, um bei der Prognose genügend Platz für unbedachte Kosten offen zu halten. 4% wären im sparsamen Fall ebenso realistisch möglich (z.B. Team aus 10 Leuten mit 50.000 € monatlichen Personalkosten in einem Büro zu 1000 € mit 1000 € an weiteren Betriebskosten für Strom, Internet, etc. = 4%).</t>
        </r>
      </text>
    </comment>
    <comment ref="A37" authorId="0">
      <text>
        <r>
          <rPr>
            <b/>
            <sz val="9"/>
            <color indexed="81"/>
            <rFont val="Tahoma"/>
            <family val="2"/>
          </rPr>
          <t>Michael Schöggl:</t>
        </r>
        <r>
          <rPr>
            <sz val="9"/>
            <color indexed="81"/>
            <rFont val="Tahoma"/>
            <family val="2"/>
          </rPr>
          <t xml:space="preserve">
- Für In-App-Einkäufe über den Google Play Store und ab Mitte 2020 auch über den App Store (Apple) fallen Transaktionsgebühren an.
- Diese Gebühren beinhalten bereits alle Nebenkosten, die durch Bankspesen, Zahlungsverkehr etc. entstehen. 
- Zu Beginn macht es Sinn, Einkäufe über den App-Store abzuwickeln, selbst wenn die Gebühren höher sind, als ein eigener Zugang (z.B. der Kauf von Punkten auf der Homepage, die dann in der App eingelöst werden können). 
- Warum? Weil deutlich mehr Menschen einkaufen werden, wenn der Einkauf ganz einfach und gewohnt über den App-Store abgewickelt wird, wo die Bezahlmethode bereits hinterlegt ist, als über unsere eigene Lösung. Eine höhere Zahlbereitschaft wird wichtiger sein, als das Sparen von Gebühren. 
- Zudem unterstützen die App-Stores eine Vielzahl verschiedener Zahlmöglichkeiten, diese alle mit z.B. Wirecard einzurichten, würde bei einer zunächst kleinen Summe an Transaktionen mehr kosten, als bringen. Die Kosten pro Transaktion nehmen erst ab einer großen Anzahl an monatlichen Einkäufen so stark ab, dass es sich lohnen könnte, ein eigenes Bezahlsystem anzubieten. 
- Langfristig haben wir aber natürlich genau das vor, weil wir uns sehr viele Kosten sparen könnten, wenn unsere Kosten pro Transaktion von 30% auf z.B. 15% fallen. Mehr dazu in den Kommentaren rechts.</t>
        </r>
      </text>
    </comment>
    <comment ref="B37" authorId="0">
      <text>
        <r>
          <rPr>
            <b/>
            <sz val="9"/>
            <color indexed="81"/>
            <rFont val="Tahoma"/>
            <family val="2"/>
          </rPr>
          <t xml:space="preserve">Michael Schöggl:
Wieviel Prozent sämtlicher Einnahmen über den App Store fallen an Gebühren an?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Transaktionsgebühren für In-App-Verkäufe im Google Play Store (30%). Die Gebühren für abgeschlossene Abos betragen 15%. Andere Stores wie z.B. Apple, Steam oder PlayStation sind günstiger, aber wir rechnen hier sicherheitshalber mit den höchsten Werten (abzüglich einer optional einstellbaren Verbesserung pro Quartal in der Spalte rechts). </t>
        </r>
      </text>
    </comment>
    <comment ref="C37" authorId="0">
      <text>
        <r>
          <rPr>
            <b/>
            <sz val="9"/>
            <color indexed="81"/>
            <rFont val="Tahoma"/>
            <family val="2"/>
          </rPr>
          <t xml:space="preserve">Michael Schöggl:
</t>
        </r>
        <r>
          <rPr>
            <b/>
            <sz val="9"/>
            <color indexed="81"/>
            <rFont val="Tahoma"/>
            <family val="2"/>
          </rPr>
          <t xml:space="preserve">
Um wieviel Prozent pro Quartal lassen sich die Transaktionsgebühren senken?</t>
        </r>
        <r>
          <rPr>
            <sz val="9"/>
            <color indexed="81"/>
            <rFont val="Tahoma"/>
            <family val="2"/>
          </rPr>
          <t xml:space="preserve">
</t>
        </r>
        <r>
          <rPr>
            <u/>
            <sz val="9"/>
            <color indexed="81"/>
            <rFont val="Tahoma"/>
            <family val="2"/>
          </rPr>
          <t>Begründung für diesen Wert</t>
        </r>
        <r>
          <rPr>
            <sz val="9"/>
            <color indexed="81"/>
            <rFont val="Tahoma"/>
            <family val="2"/>
          </rPr>
          <t>:
Wir gehen davon aus, die Transaktionsgebühren im Laufe der nächsten 3 Jahre von maximal 30% (= alle Einkäufe werden über den Play Store getätigt) auf rund 16,5% senken zu können, da ...
1.) ... wir auch alternative Bezahlungsmöglichkeiten anbieten wollen, z.B. über den Erwerb von Punkten auf unserer Homepage, die uns deutlich günstiger kommen.
2.) ... der Play Store zu den teuersten Stores gehört, connect aber nicht nur für Android erscheint, sondern auch PlayStation, Steam etc.
3.) ... die Store-Preise allgemein etwas fallen werden.
4.) ... wir uns hier gewaltige Kosten sparen können und daher sehr motiviert sein werden, Alternativen anzubieten.</t>
        </r>
      </text>
    </comment>
    <comment ref="A38" authorId="0">
      <text>
        <r>
          <rPr>
            <b/>
            <sz val="9"/>
            <color indexed="81"/>
            <rFont val="Tahoma"/>
            <family val="2"/>
          </rPr>
          <t>Michael Schöggl:</t>
        </r>
        <r>
          <rPr>
            <sz val="9"/>
            <color indexed="81"/>
            <rFont val="Tahoma"/>
            <family val="2"/>
          </rPr>
          <t xml:space="preserve">
Mit Ende 2019 betragen die Zinsen pro Monat ca. 3000 Euro, beim Beginn der Rückzahlung ist unsere Hausbank flexibel, wir rechnen aber ab Ende 2020 mit einer Laufzeit von 10 Jahren.
Auch wenn bei guter wirtschaftlicher Entwicklung der gesamte Kredit deutlich früher zurückgezahlt werden kann und wird, wird sicherheitshalber in dieser Prognose davon ausgegangen, dass die Rückzahlung im Verlauf von 10 Jahren erfolgt.</t>
        </r>
      </text>
    </comment>
    <comment ref="B38" authorId="0">
      <text>
        <r>
          <rPr>
            <b/>
            <sz val="9"/>
            <color indexed="81"/>
            <rFont val="Tahoma"/>
            <family val="2"/>
          </rPr>
          <t>Michael Schöggl:</t>
        </r>
        <r>
          <rPr>
            <sz val="9"/>
            <color indexed="81"/>
            <rFont val="Tahoma"/>
            <family val="2"/>
          </rPr>
          <t xml:space="preserve">
</t>
        </r>
        <r>
          <rPr>
            <b/>
            <sz val="9"/>
            <color indexed="81"/>
            <rFont val="Tahoma"/>
            <family val="2"/>
          </rPr>
          <t>Wieviel Zinsen bezahlen wir für laufende Kredite pro Monat?</t>
        </r>
        <r>
          <rPr>
            <sz val="9"/>
            <color indexed="81"/>
            <rFont val="Tahoma"/>
            <family val="2"/>
          </rPr>
          <t xml:space="preserve">
</t>
        </r>
        <r>
          <rPr>
            <u/>
            <sz val="9"/>
            <color indexed="81"/>
            <rFont val="Tahoma"/>
            <family val="2"/>
          </rPr>
          <t>Begründung für diesen Wert</t>
        </r>
        <r>
          <rPr>
            <sz val="9"/>
            <color indexed="81"/>
            <rFont val="Tahoma"/>
            <family val="2"/>
          </rPr>
          <t>:
- Erfahrungswerte: Die aktuellen Zinsen pro Monat betragen knapp 3000 €.</t>
        </r>
      </text>
    </comment>
    <comment ref="C38" authorId="0">
      <text>
        <r>
          <rPr>
            <b/>
            <sz val="9"/>
            <color indexed="81"/>
            <rFont val="Tahoma"/>
            <family val="2"/>
          </rPr>
          <t xml:space="preserve">Michael Schöggl:
Wieviel € pro Monat müssen für laufende Kredite ab 2021 zurückbezahlt werden?
</t>
        </r>
        <r>
          <rPr>
            <u/>
            <sz val="9"/>
            <color indexed="81"/>
            <rFont val="Tahoma"/>
            <family val="2"/>
          </rPr>
          <t>Begründung für diesen Wert</t>
        </r>
        <r>
          <rPr>
            <sz val="9"/>
            <color indexed="81"/>
            <rFont val="Tahoma"/>
            <family val="2"/>
          </rPr>
          <t>:
Über eine Laufzeit von 10 Jahren sollen ab 2021 die offenen Kredite (590.000 €) rückgezahlt werden.
Die erhaltenen Investitionen durch partiarische Darlehen werden über eine Gewinnbeteiligung ausgeschüttet, bis sie abbezahlt sind.</t>
        </r>
      </text>
    </comment>
    <comment ref="A39" authorId="0">
      <text>
        <r>
          <rPr>
            <b/>
            <sz val="9"/>
            <color indexed="81"/>
            <rFont val="Tahoma"/>
            <family val="2"/>
          </rPr>
          <t>Michael Schöggl:</t>
        </r>
        <r>
          <rPr>
            <sz val="9"/>
            <color indexed="81"/>
            <rFont val="Tahoma"/>
            <family val="2"/>
          </rPr>
          <t xml:space="preserve">
Alle Einnahmen wurden brutto mit Umsatzsteuer berechnet. D.h. die Einnahmenprognose ist um 20% vorsichtiger, als auf den ersten Blick angenommen, wenn Netto- statt Brutto-Beträge erwartet wurden.
Zwar besteht später die Möglichkeit, Steuervorteile zu nutzen (und der Steuersatz ist auch nicht in jedem Land so hoch, wie in Österreich), sicherheitshalber haben wir aber trotzdem mit 20% Umsatzsteuer auf alle Einnahmen gerechnet.</t>
        </r>
      </text>
    </comment>
    <comment ref="B39" authorId="0">
      <text>
        <r>
          <rPr>
            <b/>
            <sz val="9"/>
            <color indexed="81"/>
            <rFont val="Tahoma"/>
            <family val="2"/>
          </rPr>
          <t xml:space="preserve">Michael Schöggl:
Wieviel Prozent an Umsatzsteuer müssen für Einnahmen bezahlt werden?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Umsatzsteuer in Österreich, dieser Wert kann langfristig durch entsprechende Steuersparmaßnahmen deutlich reduziert werden.
- Die Umsatzsteuer in anderen Ländern ist in der Regel (deutlich) niedriger, aber unsere Prognose soll mit vorsichtigen Werten arbeiten.</t>
        </r>
      </text>
    </comment>
    <comment ref="C39"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Um wieviel Prozent pro Quartal sinkt die Umsatzsteuer durch steuersparende Maßnahmen?
</t>
        </r>
        <r>
          <rPr>
            <u/>
            <sz val="9"/>
            <color indexed="81"/>
            <rFont val="Tahoma"/>
            <family val="2"/>
          </rPr>
          <t>Begründung für diesen Wert</t>
        </r>
        <r>
          <rPr>
            <sz val="9"/>
            <color indexed="81"/>
            <rFont val="Tahoma"/>
            <family val="2"/>
          </rPr>
          <t xml:space="preserve">:
Wir nehmen hier 0 an, weil wir brave Steuerzahler sind, aber realistisch ist es nicht, dass wir dauerhaft 20% Umsatzsteuer zahlen würden, daher bei Bedarf hier bitte einen Minuswert eintragen - z.B. -1% (in 9 Schritten reduziert sich dann die Umsatzsteuer kontinuierlich von 20% auf 11%. 
</t>
        </r>
      </text>
    </comment>
    <comment ref="A40" authorId="0">
      <text>
        <r>
          <rPr>
            <b/>
            <sz val="9"/>
            <color indexed="81"/>
            <rFont val="Tahoma"/>
            <family val="2"/>
          </rPr>
          <t>Michael Schöggl:</t>
        </r>
        <r>
          <rPr>
            <sz val="9"/>
            <color indexed="81"/>
            <rFont val="Tahoma"/>
            <family val="2"/>
          </rPr>
          <t xml:space="preserve">
Der Gewinn wird so lange wie möglich reinvestiert, um keine Körperschaftsteuer (bzw. Einkommensteuer) zahlen zu müssen. 
Eigentlich rechnen bis Ende 2021 damit, die Einnahmen vollständig reinvestieren zu können und keine Gewinne zu machen. Bei der Prognose wurden aber einfach alle Gewinne mit 25% Körperschaftsteuer belegt.
Die Mindestkörperschaftssteuer beträgt bei einer GmbH rund 1750 € pro Jahr, kann aber später gegengerechnet werden, weshalb wir diesen Wert ignorieren (das ist kein Liquiditätsplan).
</t>
        </r>
      </text>
    </comment>
    <comment ref="B40" authorId="0">
      <text>
        <r>
          <rPr>
            <b/>
            <sz val="9"/>
            <color indexed="81"/>
            <rFont val="Tahoma"/>
            <family val="2"/>
          </rPr>
          <t>Michael Schöggl:
Wieviel Prozent des Gewinns müssen an Körperschaftsteuer abgezogen werden?</t>
        </r>
        <r>
          <rPr>
            <sz val="9"/>
            <color indexed="81"/>
            <rFont val="Tahoma"/>
            <family val="2"/>
          </rPr>
          <t xml:space="preserve">
</t>
        </r>
        <r>
          <rPr>
            <u/>
            <sz val="9"/>
            <color indexed="81"/>
            <rFont val="Tahoma"/>
            <family val="2"/>
          </rPr>
          <t>Begründung für diesen Wert</t>
        </r>
        <r>
          <rPr>
            <sz val="9"/>
            <color indexed="81"/>
            <rFont val="Tahoma"/>
            <family val="2"/>
          </rPr>
          <t>:
- Körperschaftsteuer in Österreich, dieser Wert kann langfristig durch entsprechende Steuersparmaßnahmen natürlich reduziert werden, zudem gibt es Beschlüsse der neuen Bundesregierung, die Körperschaftsteuer deutlich zu senken.
- Ebenso wie die Umsatzsteuer ist die Körperschaftsteuer in anderen Ländern auch niedriger, aber wir wollen vorsichtige Schätzwerte.</t>
        </r>
      </text>
    </comment>
    <comment ref="C40"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sinkt die Körperschaftsteuer durch steuersparende Maßnahmen?</t>
        </r>
        <r>
          <rPr>
            <sz val="9"/>
            <color indexed="81"/>
            <rFont val="Tahoma"/>
            <family val="2"/>
          </rPr>
          <t xml:space="preserve">
Wir nehmen hier 0 an, weil wir brave Steuerzahler sind, aber realistisch ist es nicht, dass wir dauerhaft 35 % Körperschaftsteuer zahlen würden (u.a. weil Gewinne reinvestiert werden, notfalls in andere Unternehmen oder Zukäufe), daher bei Bedarf hier bitte einen Minuswert eintragen - z.B. -1% (in 9 Schritten reduziert sich dann die Umsatzsteuer kontinuierlich von 20% auf 11%. </t>
        </r>
      </text>
    </comment>
    <comment ref="A41" authorId="0">
      <text>
        <r>
          <rPr>
            <b/>
            <sz val="9"/>
            <color indexed="81"/>
            <rFont val="Tahoma"/>
            <family val="2"/>
          </rPr>
          <t>Michael Schöggl:</t>
        </r>
        <r>
          <rPr>
            <sz val="9"/>
            <color indexed="81"/>
            <rFont val="Tahoma"/>
            <family val="2"/>
          </rPr>
          <t xml:space="preserve">
Meine geplanten Privatentnahmen (Abzug von der bereits geleisteten finanziellen Einbringung). Auch möglich wäre eine Anstellung zu eben diesen Kosten.</t>
        </r>
      </text>
    </comment>
    <comment ref="B41" authorId="0">
      <text>
        <r>
          <rPr>
            <b/>
            <sz val="9"/>
            <color indexed="81"/>
            <rFont val="Tahoma"/>
            <family val="2"/>
          </rPr>
          <t>Michael Schöggl:</t>
        </r>
        <r>
          <rPr>
            <sz val="9"/>
            <color indexed="81"/>
            <rFont val="Tahoma"/>
            <family val="2"/>
          </rPr>
          <t xml:space="preserve">
</t>
        </r>
        <r>
          <rPr>
            <b/>
            <sz val="9"/>
            <color indexed="81"/>
            <rFont val="Tahoma"/>
            <family val="2"/>
          </rPr>
          <t>Wieviel € pro Monat fallen an Kosten für das Geschäftsführergehalt oder die Privatentnahmen durch den Geschäftsführer an?</t>
        </r>
        <r>
          <rPr>
            <sz val="9"/>
            <color indexed="81"/>
            <rFont val="Tahoma"/>
            <family val="2"/>
          </rPr>
          <t xml:space="preserve">
</t>
        </r>
        <r>
          <rPr>
            <u/>
            <sz val="9"/>
            <color indexed="81"/>
            <rFont val="Tahoma"/>
            <family val="2"/>
          </rPr>
          <t xml:space="preserve">
Begründung für diesen Wert</t>
        </r>
        <r>
          <rPr>
            <sz val="9"/>
            <color indexed="81"/>
            <rFont val="Tahoma"/>
            <family val="2"/>
          </rPr>
          <t>:
- In der Praxis kann dieser Wert deutlich niedriger sein, da die Lebenserhaltungskosten nicht unbedingt 2.500 € pro Monat ausmachen, aber für eine vorsichtige Schätzung ist das ein guter Wert.</t>
        </r>
      </text>
    </comment>
    <comment ref="C41"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 pro Quartal steigt das Geschäftsführergehalt bzw. die Privatentnahme ab Erreichen der Gewinnzone?</t>
        </r>
        <r>
          <rPr>
            <sz val="9"/>
            <color indexed="81"/>
            <rFont val="Tahoma"/>
            <family val="2"/>
          </rPr>
          <t xml:space="preserve">
</t>
        </r>
        <r>
          <rPr>
            <u/>
            <sz val="9"/>
            <color indexed="81"/>
            <rFont val="Tahoma"/>
            <family val="2"/>
          </rPr>
          <t>Begründung für diesen Wert</t>
        </r>
        <r>
          <rPr>
            <sz val="9"/>
            <color indexed="81"/>
            <rFont val="Tahoma"/>
            <family val="2"/>
          </rPr>
          <t>:
- Es wäre unglaubwürdig, hier unabhängig vom Erfolg des Unternehmens von gleichbleibenden Kosten auszugehen. 
- Zudem wäre eine repräsentative Vertretung nach Außen hin mit 2500 € eingeschränkter möglich, als mit eine angebrachten Gehalt.</t>
        </r>
      </text>
    </comment>
    <comment ref="A42" authorId="0">
      <text>
        <r>
          <rPr>
            <b/>
            <sz val="9"/>
            <color indexed="81"/>
            <rFont val="Tahoma"/>
            <family val="2"/>
          </rPr>
          <t xml:space="preserve">Michael Schöggl:
</t>
        </r>
        <r>
          <rPr>
            <sz val="9"/>
            <color indexed="81"/>
            <rFont val="Tahoma"/>
            <family val="2"/>
          </rPr>
          <t xml:space="preserve">
Nach unseren Basis-Kosten für Lizenzen etc. wurden ab 2021 weiter 0,01 Cent pro User veranschlagt, um u.a. die steigenden Serverkosten abzubilden. Jeder Server, der pro Monat rund 300 Euro angemietet kostet, kann problemlos mehr als 30.000 User beherrbergen, aber es gibt noch weitere kleinere Kosten wie z.B. den erstmaligen SMS-Versand für die Registrierung, etc.
Kosten in Höhe von 1 Cent pro User und Monat sind insgesamt durchaus realistisch.</t>
        </r>
      </text>
    </comment>
    <comment ref="B42" authorId="0">
      <text>
        <r>
          <rPr>
            <b/>
            <sz val="9"/>
            <color indexed="81"/>
            <rFont val="Tahoma"/>
            <family val="2"/>
          </rPr>
          <t>Michael Schöggl:</t>
        </r>
        <r>
          <rPr>
            <sz val="9"/>
            <color indexed="81"/>
            <rFont val="Tahoma"/>
            <family val="2"/>
          </rPr>
          <t xml:space="preserve">
</t>
        </r>
        <r>
          <rPr>
            <b/>
            <sz val="9"/>
            <color indexed="81"/>
            <rFont val="Tahoma"/>
            <family val="2"/>
          </rPr>
          <t>Mit welchen Fixkosten müssen wir monatlich für Server, Lizenzen und andere userabhängige Kosten rechnen?</t>
        </r>
        <r>
          <rPr>
            <sz val="9"/>
            <color indexed="81"/>
            <rFont val="Tahoma"/>
            <family val="2"/>
          </rPr>
          <t xml:space="preserve">
</t>
        </r>
        <r>
          <rPr>
            <u/>
            <sz val="9"/>
            <color indexed="81"/>
            <rFont val="Tahoma"/>
            <family val="2"/>
          </rPr>
          <t>Begründung für diesen Wert</t>
        </r>
        <r>
          <rPr>
            <sz val="9"/>
            <color indexed="81"/>
            <rFont val="Tahoma"/>
            <family val="2"/>
          </rPr>
          <t xml:space="preserve">:
- Es handelt sich hier um einen Erfahrungswert aufgrund bisherigen Kosten - auch wenn bei 2000 € bereits alle Lizenzenkosten (für Shutterstock, Unity, Cision, Mailworx, etc.) enthalten sind.
- Diese nicht-userabgängigen Lizenzkosten sind nur einmalig zu bezahlen und werden später in den Betriebsausgaben veranschlagt. 
- Dieser Wert soll sich auf (noch nicht vorhandene) userabhängige Lizenzrechte, Service-Kosten (z.B. der SMS-Versand für den Zugangscode bei der Registrierung neuer User) und die bereits bekannten Serverkosten (ca. 300 € pro Monat für einen Server, der locker 300.000 User verwalten kann) beziehen. </t>
        </r>
      </text>
    </comment>
    <comment ref="C42" authorId="0">
      <text>
        <r>
          <rPr>
            <b/>
            <sz val="9"/>
            <color indexed="81"/>
            <rFont val="Tahoma"/>
            <family val="2"/>
          </rPr>
          <t>Michael Schöggl:</t>
        </r>
        <r>
          <rPr>
            <sz val="9"/>
            <color indexed="81"/>
            <rFont val="Tahoma"/>
            <family val="2"/>
          </rPr>
          <t xml:space="preserve">
</t>
        </r>
        <r>
          <rPr>
            <b/>
            <sz val="9"/>
            <color indexed="81"/>
            <rFont val="Tahoma"/>
            <family val="2"/>
          </rPr>
          <t>Wieviel € wird uns jeder User pro Monat für Service, Server und Lizenzrechte kosten?</t>
        </r>
        <r>
          <rPr>
            <sz val="9"/>
            <color indexed="81"/>
            <rFont val="Tahoma"/>
            <family val="2"/>
          </rPr>
          <t xml:space="preserve">
</t>
        </r>
        <r>
          <rPr>
            <u/>
            <sz val="9"/>
            <color indexed="81"/>
            <rFont val="Tahoma"/>
            <family val="2"/>
          </rPr>
          <t>Begründung für diesen Wert</t>
        </r>
        <r>
          <rPr>
            <sz val="9"/>
            <color indexed="81"/>
            <rFont val="Tahoma"/>
            <family val="2"/>
          </rPr>
          <t>:
- Nach unseren Basis-Kosten für Lizenzen etc. wurden ab 2021 weiter 0,01 Cent pro User veranschlagt, um u.a. die steigenden Serverkosten abzubilden. Jeder Server, der pro Monat rund 300 Euro angemietet kostet, kann problemlos mehr als 30.000 User beherrbergen, aber es gibt noch weitere kleinere Kosten wie z.B. den erstmaligen SMS-Versand für die Registrierung, etc.
- Kosten in Höhe von 1 Cent pro User und Monat sind insgesamt realistisch und pessimistisch geschätzt.
- Mittelfristig werden wir Server nicht mehr mieten, sondern selbst anschaffen, aber die Kosten werde als Abschreibposten ungefähr dieselben bleiben (eher sinken als steigen).</t>
        </r>
      </text>
    </comment>
    <comment ref="A43" authorId="0">
      <text>
        <r>
          <rPr>
            <b/>
            <sz val="9"/>
            <color indexed="81"/>
            <rFont val="Tahoma"/>
            <family val="2"/>
          </rPr>
          <t>Michael Schöggl:</t>
        </r>
        <r>
          <rPr>
            <sz val="9"/>
            <color indexed="81"/>
            <rFont val="Tahoma"/>
            <family val="2"/>
          </rPr>
          <t xml:space="preserve">
- Hier werden sämtliche Ausgaben für externe Dienstleister und sonstige Ausgaben (die nicht in die anderen Kategorien passen) subsummiert. 
- U.a. sind das Kosten für outgesourcte Softwareentwicklung, Rechtsberatung, IP-Beratung, allgemeine Unternehmsberatung (z.B. beim Pricing), Marketing-Dienstleistungen, Animation von 3D-Modellen (z.B. virtuelle Haustiere), Homepage-Entwicklung (eigentlich abgeschlossen - nichts, was wir selbst machen), etc.
- Kosten, die im Zuge eines Abos entstehen (z.B. für Shutterstock, Cision, Mailworx, Server, Lizenzen, etc.) werden hier nicht gelistet, sondern in der Kategorie 3.4 Betriebsausgaben, wenn sie unabhängig von der Anzahl unserer User sind, bzw. 3.10, wenn sie mit der Useranzahl mitskalieren. </t>
        </r>
      </text>
    </comment>
    <comment ref="B43" authorId="0">
      <text>
        <r>
          <rPr>
            <b/>
            <sz val="9"/>
            <color indexed="81"/>
            <rFont val="Tahoma"/>
            <family val="2"/>
          </rPr>
          <t>Michael Schöggl:</t>
        </r>
        <r>
          <rPr>
            <sz val="9"/>
            <color indexed="81"/>
            <rFont val="Tahoma"/>
            <family val="2"/>
          </rPr>
          <t xml:space="preserve">
</t>
        </r>
        <r>
          <rPr>
            <b/>
            <sz val="9"/>
            <color indexed="81"/>
            <rFont val="Tahoma"/>
            <family val="2"/>
          </rPr>
          <t xml:space="preserve">
Wieviel Prozent der gesamten Einnahmen werden wir für Outsourcing, externe Dienstleister und sonstige Ausgaben benötigen?</t>
        </r>
        <r>
          <rPr>
            <sz val="9"/>
            <color indexed="81"/>
            <rFont val="Tahoma"/>
            <family val="2"/>
          </rPr>
          <t xml:space="preserve">
</t>
        </r>
        <r>
          <rPr>
            <u/>
            <sz val="9"/>
            <color indexed="81"/>
            <rFont val="Tahoma"/>
            <family val="2"/>
          </rPr>
          <t>Begründung für diesen Wert</t>
        </r>
        <r>
          <rPr>
            <sz val="9"/>
            <color indexed="81"/>
            <rFont val="Tahoma"/>
            <family val="2"/>
          </rPr>
          <t>:
- Gerade zu Beginn werden wir keine Rechtsabteilung oder HR-Abteilung haben, sondern externe Dienstleister für derlei Aufgaben beschäftigen. Auch Marketing-Dienstleistungen sind hier abgebildet.
- Ein Teil unserer Entwicklung wird gerade zu Beginn auch durch Outsourcing abgedeckt, da dieser Weg es ermöglicht, international Experten relativ rasch einzusetzen. Ein eigenes Team aufzubauen, das alle Aufgaben übernimmt, kann einige Monate dauern. 
- Zu Beginn entsprechen 5% der Einnahmen zuzüglich 10.000 € an monatlichen Fixkosten einem Erfahrungswert, der genug Spielraum für Outsourcing lässt.
- Die Kosten pro Quartal steigen kontinuierlich um diese 5% der Einnahmen an, es wird der Wert des vorherigen Quartals entsprechend erhöht. Diese "Mindestkosten" bleiben erhalten.</t>
        </r>
      </text>
    </comment>
    <comment ref="C43"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fallen die prozentualen, einnahmeabhängigen Kosten für externe Dienstleistungen?</t>
        </r>
        <r>
          <rPr>
            <sz val="9"/>
            <color indexed="81"/>
            <rFont val="Tahoma"/>
            <family val="2"/>
          </rPr>
          <t xml:space="preserve">
</t>
        </r>
        <r>
          <rPr>
            <u/>
            <sz val="9"/>
            <color indexed="81"/>
            <rFont val="Tahoma"/>
            <family val="2"/>
          </rPr>
          <t>Begründung für diesen Wert</t>
        </r>
        <r>
          <rPr>
            <sz val="9"/>
            <color indexed="81"/>
            <rFont val="Tahoma"/>
            <family val="2"/>
          </rPr>
          <t>:
- Langfristig werden die Kosten für externe Dienstleister sinken, weil wir eigene Mitarbeiter für derlei Aufgaben beschäftigen werden. Darum wird der Prozentsatz von den Einnahmen im Laufe der Quartale deutlich fallen.
- Dazu kommt, dass unsere Kosten nicht im selben Ausmaß wie unsere Einnahmen ansteigen müssen, weil unsere Einnahmen primär aus neuen Usern resultieren und mehr User nicht zwangsläufig höhere Entwicklungskosten bedeuten müssen.</t>
        </r>
      </text>
    </comment>
    <comment ref="A44" authorId="1">
      <text>
        <r>
          <rPr>
            <b/>
            <sz val="9"/>
            <color indexed="81"/>
            <rFont val="Tahoma"/>
            <family val="2"/>
          </rPr>
          <t>e.com:</t>
        </r>
        <r>
          <rPr>
            <sz val="9"/>
            <color indexed="81"/>
            <rFont val="Tahoma"/>
            <family val="2"/>
          </rPr>
          <t xml:space="preserve">
</t>
        </r>
        <r>
          <rPr>
            <u/>
            <sz val="9"/>
            <color indexed="81"/>
            <rFont val="Tahoma"/>
            <family val="2"/>
          </rPr>
          <t>Informationen zu bezahlter Werbung:</t>
        </r>
        <r>
          <rPr>
            <sz val="9"/>
            <color indexed="81"/>
            <rFont val="Tahoma"/>
            <family val="2"/>
          </rPr>
          <t xml:space="preserve">
- erste Tests zeigen: rund 3 € pro neuem User (= Anmeldung, nicht nur Installation)
- viele Werbevideos sind vorbereitet und es ist einfach, neue zu erstellen: http://bit.ly/2zlcvAl
- wir werden bis Mitte 2020 verschiedenste Marketing-Zugänge austesten und jene mit dem besten Kosten-Nutzen-Verhältnis optimieren und forcieren
- die Kosten pro neuem User sind EXTREM wichtig, da uns jeder User pro Jahr mehr Geld bringt, als kostet und es sich daher lohnt, so viel Geld wie möglich in Werbung zu investieren
- wegen der geringen Fixkosten der Entwicklung (neue Inhalte stammen meist von Partnern!) wird connect alle Werbeausgaben multiplikativ wieder einspielen
- daher wichtigstes Ziel: Werbekosten pro neuem User minimieren und möglichst viel Geld in Werbung zu investieren (wir rechnen mit 30 % der Einnahmen)
- Kreislauf führt zu exponentiellem Wachstum: je mehr User, umso mehr Einnahmen und dadurch immer mehr Werbung (prozentualer Anteil der Einnahmen) - was wieder zu mehr Usern führt... wir gewinnen sehr schnell an Tempo
- bis die Kosten für neue User die Einnahmen übersteigen (weil die primäre Zielgruppe zunehmend ausgeschöpft ist) werden wir uns massiv auf bezahlte Werbung konzentrieren, danach (ca. ab 100+ Mio User) sind unsere multiplikativen Tricks (1.3 bis 1.9) mehr als ausreichend
</t>
        </r>
      </text>
    </comment>
    <comment ref="B44"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Wie viel kostet uns jeder neue User mit bezahlter Werbung? </t>
        </r>
        <r>
          <rPr>
            <sz val="9"/>
            <color indexed="81"/>
            <rFont val="Tahoma"/>
            <family val="2"/>
          </rPr>
          <t xml:space="preserve">
</t>
        </r>
        <r>
          <rPr>
            <u/>
            <sz val="9"/>
            <color indexed="81"/>
            <rFont val="Tahoma"/>
            <family val="2"/>
          </rPr>
          <t>Begründung für diesen Wert:</t>
        </r>
        <r>
          <rPr>
            <sz val="9"/>
            <color indexed="81"/>
            <rFont val="Tahoma"/>
            <family val="2"/>
          </rPr>
          <t xml:space="preserve">
- erste Tests zeigen ca. 3 € Kosten pro neuem User
- entspricht auch den durchschnittlichen Kosten laut mehreren Internetquellen (unten)
- durchschnittliche Kosten pro Installation sind laut Statista 0,44 Dollar bzw. 1,91 $ in den USA und 0,99 $ in Europa laut mobyaffiliates.com (siehe Quellen)
- bis Mitte 2020 testen wir mit geringem Kapital verschiedene Werbekanäle, der Fokus liegt auf Informationsgewinn statt neuen Usern</t>
        </r>
      </text>
    </comment>
    <comment ref="C44"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Absolute Verringerung der Akquirierungskosten pro Quartal in Euro.
</t>
        </r>
        <r>
          <rPr>
            <u/>
            <sz val="9"/>
            <color indexed="81"/>
            <rFont val="Tahoma"/>
            <family val="2"/>
          </rPr>
          <t xml:space="preserve">Begründung für diesen Wert:
</t>
        </r>
        <r>
          <rPr>
            <sz val="9"/>
            <color indexed="81"/>
            <rFont val="Tahoma"/>
            <family val="2"/>
          </rPr>
          <t>- Werbematerial wird immer professioneller.
- Erfahrungen helfen, den Werbezugang zu optimieren. 
- Das Produkt verbessert sich, der Nutzen für den Kunden steigt, wodurch auch mehr auf die Werbung anspringen. 
- Die Werbekosten allgemein sinken eher, als dass sie steigen würden.</t>
        </r>
      </text>
    </comment>
    <comment ref="J44" authorId="0">
      <text>
        <r>
          <rPr>
            <b/>
            <sz val="9"/>
            <color indexed="81"/>
            <rFont val="Tahoma"/>
            <family val="2"/>
          </rPr>
          <t xml:space="preserve">Michael Schöggl:
</t>
        </r>
        <r>
          <rPr>
            <sz val="9"/>
            <color indexed="81"/>
            <rFont val="Tahoma"/>
            <family val="2"/>
          </rPr>
          <t xml:space="preserve">
Durchschnittswert für dieses Jahr.</t>
        </r>
      </text>
    </comment>
    <comment ref="A45" authorId="0">
      <text>
        <r>
          <rPr>
            <b/>
            <sz val="9"/>
            <color indexed="81"/>
            <rFont val="Tahoma"/>
            <family val="2"/>
          </rPr>
          <t xml:space="preserve">Michael Schöggl:
</t>
        </r>
        <r>
          <rPr>
            <sz val="9"/>
            <color indexed="81"/>
            <rFont val="Tahoma"/>
            <family val="2"/>
          </rPr>
          <t xml:space="preserve">
Bis Mitte 2020 machen wir nur erste, günstige Tests mit bezahlter Werbung, um jene Kanäle zu finden, die das besten Kosten-Nutzen-Verhältnis haben (u.a. werden wir AdColony und Vungle testen, aber auch viele komplett andere Zugänge). 
Wenn wir bis Mitte 2020 den für uns besten Zugang gefunden haben, werden wir ihn optimieren und perfektionieren, um möglichst nicht mehr als 3 € pro neuem User an Kosten zu haben. Das sind realistische Erfahrungswerte für kostenlose Apps und Spiele, die sich sicher erreichen lassen, da connect ein breiteres, weniger spezifisches Puplikum anspricht und auch mehr weniger stark umkämpfte Werbezugänge erlaubt, als klassische App-Spiele. Wenn wir dieses Ziel erreichen, werden wir je nach finanzieller Aussicht zwischen 0 und 5.000 € pro Monat in Werbung stecken, bis wir erste Einnahmen haben. Die Prognose rechnet aktuell mit mindestens 5.000 € an Werbekosten pro Monat ab Mitte 2018.
Sobald wir Einnahmen haben, wollen wir rund 30% der Einnahmen in Werbung reinvestieren - jedoch mit einer Obergrenze, die nun willkürlich mit 1.000.000 festgelegt wurde</t>
        </r>
      </text>
    </comment>
    <comment ref="B45" authorId="0">
      <text>
        <r>
          <rPr>
            <b/>
            <sz val="9"/>
            <color indexed="81"/>
            <rFont val="Tahoma"/>
            <family val="2"/>
          </rPr>
          <t>Michael Schöggl:</t>
        </r>
        <r>
          <rPr>
            <sz val="9"/>
            <color indexed="81"/>
            <rFont val="Tahoma"/>
            <family val="2"/>
          </rPr>
          <t xml:space="preserve">
</t>
        </r>
        <r>
          <rPr>
            <b/>
            <sz val="9"/>
            <color indexed="81"/>
            <rFont val="Tahoma"/>
            <family val="2"/>
          </rPr>
          <t xml:space="preserve">Prozentsatz der Einnahmen, die wir pro Monat in bezahlte Werbung stecken. </t>
        </r>
        <r>
          <rPr>
            <sz val="9"/>
            <color indexed="81"/>
            <rFont val="Tahoma"/>
            <family val="2"/>
          </rPr>
          <t xml:space="preserve">
</t>
        </r>
        <r>
          <rPr>
            <u/>
            <sz val="9"/>
            <color indexed="81"/>
            <rFont val="Tahoma"/>
            <family val="2"/>
          </rPr>
          <t>Begründung für diesen Wert:</t>
        </r>
        <r>
          <rPr>
            <sz val="9"/>
            <color indexed="81"/>
            <rFont val="Tahoma"/>
            <family val="2"/>
          </rPr>
          <t xml:space="preserve">
- Dieser Wert hängt natürlich davon ab, wie viel uns jeder neue User tatsächlich kostet und ein Einnahmen bringt. 
- Auf Basis der aktuellen Schätzwerte ist klar, dass jeder User sehr rasch deutlich mehr Geld einbringt, als er kostet - weshalb es solange Sinn für uns macht, möglichst viel Geld in Werbung zu stecken, solange wir ein gutes Verhältnis der Kosten pro neuem User aufrechterhalten können. 
- Irgendwann sind bestimmte Marketingkanäle oder die Zielgruppe erschöpft und bei anderen Zugängen sind die Kosten pro neuem User höher, eventuell zu hoch. Darum gibt es in der Spalte rechts auch einen Grenzwert, wie viel Geld wir maximal pro Monat in bezahlte Werbung stecken sollten.
- Dieser Wert ist absichtlich ein Prozentwert von den Einnahmen, weil wir damit nicht riskieren würden, uns zu stark zu verschulden. 
- Mit entsprechendem Investment könnten wir natürlich auch unabhängig von den Einnahmen deutlich mehr Geld für bezahlte Werbung ausgeben und viel schneller wachsen. Wie die Zahlen in dieser Tabelle und bei vergleichbaren, erfolgreichen Social Networks zeigen (die teilweise Wachstumsraten von mehr als 500% pro Jahr haben - über die ersten 2-4 Jahre hinweg), entwicklen sich die Einnahmen und Userzahlen fast exponentiell, was bedeutet, dass es durchaus Sinn machen würde, den Start gewaltig zu beschleunigen, weil wir dann auch viel schneller in die schwarzen Zahlen kommen. 
- Weil wir x % der Einnahmen in Werbung investieren, ist die Entwicklung der Userzahlen "noch" exponentieller als ohnehin schon, schließlich bekommen wir durch mehr User mehr Einnahmen und investieren einen Teil dieser Einnahmen wieder in die Akquise neuer User. Der Kreislauf dreht sich immer schneller.</t>
        </r>
      </text>
    </comment>
    <comment ref="C45" authorId="0">
      <text>
        <r>
          <rPr>
            <b/>
            <sz val="9"/>
            <color indexed="81"/>
            <rFont val="Tahoma"/>
            <family val="2"/>
          </rPr>
          <t>Michael Schöggl:</t>
        </r>
        <r>
          <rPr>
            <sz val="9"/>
            <color indexed="81"/>
            <rFont val="Tahoma"/>
            <family val="2"/>
          </rPr>
          <t xml:space="preserve">
</t>
        </r>
        <r>
          <rPr>
            <b/>
            <sz val="9"/>
            <color indexed="81"/>
            <rFont val="Tahoma"/>
            <family val="2"/>
          </rPr>
          <t>Obergrenze. Wieviel € sollen maximalen pro Monat für Werbung ausgegeben werden?</t>
        </r>
        <r>
          <rPr>
            <sz val="9"/>
            <color indexed="81"/>
            <rFont val="Tahoma"/>
            <family val="2"/>
          </rPr>
          <t xml:space="preserve">
</t>
        </r>
        <r>
          <rPr>
            <u/>
            <sz val="9"/>
            <color indexed="81"/>
            <rFont val="Tahoma"/>
            <family val="2"/>
          </rPr>
          <t>Begründung für diesen Wert</t>
        </r>
        <r>
          <rPr>
            <sz val="9"/>
            <color indexed="81"/>
            <rFont val="Tahoma"/>
            <family val="2"/>
          </rPr>
          <t xml:space="preserve">:
- Es lassen sich nicht unbegrenzt viele Menschen monatlich mit bezahlter Werbung erreichen, ohne dass die Kosten pro neuem User durch Ineffizienz der Werbezugänge deutlich ansteigen. 
- Der Wert mit 10.000.000 € ist extrem hoch gewählt, weil es für ein Produkt wie connect a.) extrem viele verschiedene Möglichkeiten gibt, effektiv Werbung zu machen, und wir b.) bei den aktuellen Schätzungen auch genügend finanzielle Mittel hätten, um die besten Marketing-Profis weltweit einsetzen zu können.
- Solange uns jeder neue User weniger kostet, als er (mittelfristig) bringt, lohnt es sich, so viel Geld wie möglich in Werbung und Wachstum zu stecken. </t>
        </r>
      </text>
    </comment>
    <comment ref="B46" authorId="0">
      <text>
        <r>
          <rPr>
            <b/>
            <sz val="9"/>
            <color indexed="81"/>
            <rFont val="Tahoma"/>
            <family val="2"/>
          </rPr>
          <t>Michael Schöggl:</t>
        </r>
        <r>
          <rPr>
            <sz val="9"/>
            <color indexed="81"/>
            <rFont val="Tahoma"/>
            <family val="2"/>
          </rPr>
          <t xml:space="preserve">
</t>
        </r>
        <r>
          <rPr>
            <b/>
            <sz val="9"/>
            <color indexed="81"/>
            <rFont val="Tahoma"/>
            <family val="2"/>
          </rPr>
          <t>Wieviel Euro sollen insgesamt für eine "Boost-Kampagne" zu Beginn - d.h. nach dem offiziellem Release Mitte 2020 - ausgegeben werden?</t>
        </r>
        <r>
          <rPr>
            <sz val="9"/>
            <color indexed="81"/>
            <rFont val="Tahoma"/>
            <family val="2"/>
          </rPr>
          <t xml:space="preserve"> 
Verteilung ab Q3 2020 (pro Quartal): 35%, 30%, 20%, 15%
</t>
        </r>
        <r>
          <rPr>
            <u/>
            <sz val="9"/>
            <color indexed="81"/>
            <rFont val="Tahoma"/>
            <family val="2"/>
          </rPr>
          <t>Begründung für diesen Wert</t>
        </r>
        <r>
          <rPr>
            <sz val="9"/>
            <color indexed="81"/>
            <rFont val="Tahoma"/>
            <family val="2"/>
          </rPr>
          <t xml:space="preserve">:
- Je schneller unsere Userzahl </t>
        </r>
        <r>
          <rPr>
            <u/>
            <sz val="9"/>
            <color indexed="81"/>
            <rFont val="Tahoma"/>
            <family val="2"/>
          </rPr>
          <t>zu Beginn</t>
        </r>
        <r>
          <rPr>
            <sz val="9"/>
            <color indexed="81"/>
            <rFont val="Tahoma"/>
            <family val="2"/>
          </rPr>
          <t xml:space="preserve"> wächst, umso früher kommen wir in die Gewinnzone und umso mehr steigert sich auch das Wachstum von connect in den darauffolgenden Monaten. Darum lohnt es sich einen Teil des Investments gleich in bezahlte Werbung zu investieren - sofern die Mittel dafür übrig sind.
- Solange unsicher ist, ob jeder neue User wirklich mehr einbringt, als er kostet, stellt dieses Investment natürlich ein Risiko dar, darum macht diese Kampagne erst dann und nur solange Sinn, bis die Akquirierungskosten durch ein Ausschöpfen dieses Marketingzugangs zu hoch werden. Bevor wir so eine Kampagne starten, müssen wir genaue Zahlen zur Absprungrate und zu den ersten Einnahmen über den In-App-Shop haben, idealerweise auch die Wachstumsraten auf Basis der bereits bestehenden User. Diese Zahlen hier eingegeben erlauben einfache Hochrechnungen, ob sich das Investment lohnt. 
- Der hier eingetragene Betrag wird auf ein Jahr verteilt ausgegeben, davon 35% im 1. Quartal, 30% im 2. Quartal, 20% im 3. Quartal und 15% im 4. Quartal. Umso früher User akquiriert werden, umso stärker beeinflusst das den gesamten zukünftigen Verlauf positiv, aber gleichzeitig ergeben sich dadurch natürlich auch Risiken (z.B. kann der positive Werbeeffekt nicht beliebig weit hochskaliert werden). Das tatsächliche Tempo der Kampagne wird also von den konkreten Zahlen und Erfahrungen bis zu diesem Zeitpunkt abhängig gemacht.</t>
        </r>
      </text>
    </comment>
    <comment ref="A47" authorId="0">
      <text>
        <r>
          <rPr>
            <b/>
            <sz val="9"/>
            <color indexed="81"/>
            <rFont val="Tahoma"/>
            <family val="2"/>
          </rPr>
          <t xml:space="preserve">Michael Schöggl:
</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
</t>
        </r>
      </text>
    </comment>
    <comment ref="A49"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List>
</comments>
</file>

<file path=xl/comments7.xml><?xml version="1.0" encoding="utf-8"?>
<comments xmlns="http://schemas.openxmlformats.org/spreadsheetml/2006/main">
  <authors>
    <author>Michael Schöggl</author>
    <author>e.com</author>
  </authors>
  <commentList>
    <comment ref="B2" authorId="0">
      <text>
        <r>
          <rPr>
            <b/>
            <sz val="9"/>
            <color indexed="81"/>
            <rFont val="Tahoma"/>
            <family val="2"/>
          </rPr>
          <t>Michael Schöggl:</t>
        </r>
        <r>
          <rPr>
            <sz val="9"/>
            <color indexed="81"/>
            <rFont val="Tahoma"/>
            <family val="2"/>
          </rPr>
          <t xml:space="preserve">
- Die pessimistische Prognose geht vom schlechtesten Szenario aus, das für uns noch realistisch vorstellbar wäre.
- Wir gehen von deutlich unterdurchschnittlichen Werten aus, die mindestens 30% (im Schnitt aber eher 50%) unter den statistischen Zahlen liegen, die für diese Branche, dieses Geschäftsmodell oder diese Marketing-Zugänge üblich sind. 
- Die meisten Geschäftsmodelle wurden vollständig nihiliert, weil die Erfüllung ihrer Voraussetzungen nicht ganz sicher ist.
- Von großem Einfluss: Wir gehen von Kosten pro neuem User aus, die doppelt so hoch sind, wie erwartet, zudem rechnen wir mit deutlich mehr Absprüngen (also Usern, die connect für immer verlassen) und unsere Zielgruppen-Obergrenze bzw. Sättigung geht von einer sehr kleinen Zielgruppe aus.
- Ingesamt ist die pessimistische Prognose immer noch im Bereich des realistisch Möglichen und könnte eintreten, aber sie wurde so konzipiert, dass die reale Entwicklung mit einer geschätzten Wahrscheinlichkeit von mehr als 95% besser verlaufen wird.
- Wichtig: Die Prognose stellt zugleich unsere Reaktion auf eine negative Entwicklung dar, z.B., indem kein Geld in eine Boost-Marketing-Kampagne investiert wird (die bei so hohen Kosten ein Fehler wäre), oder indem das Personal temporär reduziert wird, um Kosten zu sparen. Diese Werte-Anpassungen sollen unsere Strategie bei einem derartigen Verlauf aufzeigen und gleichzeitig darstellen, wie flexibel unser Projekt (z.B. hinsichtlich der Kosten) ist, um auch unter schlechten Bedingungen überleben zu können (das zeigt sich noch viel stärker bei der Worst Case Prognose).
- Hinweis: Die wichtigsten geänderten Werte wurden fett und rot dargestellt, damit die Unterschiede einfacher zu finden sind. Bitte beachten Sie, dass alle Kommentare sich immer noch auf die realistische Prognose beziehen, explizite Kommentare für die pessmistische Prognose gibt es (noch) nicht.</t>
        </r>
      </text>
    </comment>
    <comment ref="D2" authorId="0">
      <text>
        <r>
          <rPr>
            <b/>
            <sz val="9"/>
            <color indexed="81"/>
            <rFont val="Tahoma"/>
            <family val="2"/>
          </rPr>
          <t>Michael Schöggl:</t>
        </r>
        <r>
          <rPr>
            <sz val="9"/>
            <color indexed="81"/>
            <rFont val="Tahoma"/>
            <family val="2"/>
          </rPr>
          <t xml:space="preserve">
- </t>
        </r>
        <r>
          <rPr>
            <u/>
            <sz val="9"/>
            <color indexed="81"/>
            <rFont val="Tahoma"/>
            <family val="2"/>
          </rPr>
          <t>In den hell-orange-rosanen Zellen</t>
        </r>
        <r>
          <rPr>
            <sz val="9"/>
            <color indexed="81"/>
            <rFont val="Tahoma"/>
            <family val="2"/>
          </rPr>
          <t xml:space="preserve"> wurden die Werte von Ihrer Schätzung im Register-Tab "Eigene Schätzung" übernommen.
-</t>
        </r>
        <r>
          <rPr>
            <u/>
            <sz val="9"/>
            <color indexed="81"/>
            <rFont val="Tahoma"/>
            <family val="2"/>
          </rPr>
          <t xml:space="preserve"> In den kräftig orangen Zellen</t>
        </r>
        <r>
          <rPr>
            <sz val="9"/>
            <color indexed="81"/>
            <rFont val="Tahoma"/>
            <family val="2"/>
          </rPr>
          <t xml:space="preserve"> können Sie weitere, zusätzliche Schätzwerte eintragen bzw. die bisherigen Werte durch einen zeitlichen Verlauf (z.B. Wachstum oder Reduktion eines Wertes um x pro Quartal) noch genauer spezifizieren.
- In den anderen </t>
        </r>
        <r>
          <rPr>
            <u/>
            <sz val="9"/>
            <color indexed="81"/>
            <rFont val="Tahoma"/>
            <family val="2"/>
          </rPr>
          <t>Register Tabs</t>
        </r>
        <r>
          <rPr>
            <sz val="9"/>
            <color indexed="81"/>
            <rFont val="Tahoma"/>
            <family val="2"/>
          </rPr>
          <t xml:space="preserve"> mit unseren eigenen Schätzwerten (z.B. "Realistisch", "Vorsichtig", etc.) sind diese zwei Spalten (D, E) leer. Wenn Sie dort Schätzwerte händisch eintragen, überschreiben Sie damit temporär unsere Schätzwerte in den zwei Spalten links davon (B, C). So können Sie auch abseits von Ihren Schätzwerten in "Eigene Schätzung" sehr detallierte eigene Prognosen erstellen. 
- </t>
        </r>
        <r>
          <rPr>
            <u/>
            <sz val="9"/>
            <color indexed="81"/>
            <rFont val="Tahoma"/>
            <family val="2"/>
          </rPr>
          <t>Weißer Hintergrund</t>
        </r>
        <r>
          <rPr>
            <sz val="9"/>
            <color indexed="81"/>
            <rFont val="Tahoma"/>
            <family val="2"/>
          </rPr>
          <t xml:space="preserve">: Die Schätzwerte aus den Spalten D und E (bzw. wenn Sie keine gesetzt haben, aus B und C) werden dann für die Berechnung aller Werte in den Spalten rechts (ab F) übernommen. Jedoch NUR für jene, mit farbigem Hintergrund. Die Zellen ab Spalte F, die weißen Hintergrund haben, verlangen, dass Sie händisch Werte eintragen, für sie wird nicht auf Basis von Formeln und den Schätzwerten von B bis E ein Wert ermittelt. Üblicherweise hat das den Grund, dass für diese Quartale andere Zahlen gelten müssen, z.B., weil die App bis Mitte 2020 (d.h. 1. und 2. Quartal 2020) noch nicht fertiggestellt ist und daher viele Schätzwerte deutlich negativer ausfallen werden, als in den Formeln für die Zeit danach. 
- Eigene Schätzwerte können grundsätzlich überall, im gesamten File, eingetragen werden. Keine Zelle wurde gesperrt. Wenn sich darin aber bereits Formeln befunden haben, würden diese dadurch gelöscht werden. Daher empfehlen wir, eine Sicherungskopie des Files anzulegen, oder nur in einem Tab (z.B: "Ergebnis eigene Schätzung") die Zellen durch eigene Werte zu überschreiben. Oder Sie kopieren einen Register-Tab und arbeiten an der Kopie. 
</t>
        </r>
      </text>
    </comment>
    <comment ref="F2" authorId="0">
      <text>
        <r>
          <rPr>
            <b/>
            <sz val="9"/>
            <color indexed="81"/>
            <rFont val="Tahoma"/>
            <family val="2"/>
          </rPr>
          <t>Michael Schöggl:</t>
        </r>
        <r>
          <rPr>
            <sz val="9"/>
            <color indexed="81"/>
            <rFont val="Tahoma"/>
            <family val="2"/>
          </rPr>
          <t xml:space="preserve">
- By Q3 2020 connect will be in the alpha development phase, where many functions are still missing, usability is poor and our users will therefore jump out again quickly. 
- All values up to Q3 2020 cannot be compared with later values, therefore many were entered manually instead of calculated by formula.</t>
        </r>
      </text>
    </comment>
    <comment ref="G2" authorId="0">
      <text>
        <r>
          <rPr>
            <b/>
            <sz val="9"/>
            <color indexed="81"/>
            <rFont val="Tahoma"/>
            <family val="2"/>
          </rPr>
          <t xml:space="preserve">Michael Schöggl:
- </t>
        </r>
        <r>
          <rPr>
            <sz val="9"/>
            <color indexed="81"/>
            <rFont val="Tahoma"/>
            <family val="2"/>
          </rPr>
          <t>By Q3 2020 connect will be in the alpha development phase, where many functions are still missing, usability is poor and our users will therefore jump out again quickly. 
- All values up to Q3 2020 cannot be compared with later values, therefore many were entered manually instead of calculated by formula.</t>
        </r>
      </text>
    </comment>
    <comment ref="A3" authorId="1">
      <text>
        <r>
          <rPr>
            <b/>
            <sz val="9"/>
            <color indexed="81"/>
            <rFont val="Tahoma"/>
            <family val="2"/>
          </rPr>
          <t xml:space="preserve">e.com:
</t>
        </r>
        <r>
          <rPr>
            <sz val="9"/>
            <color indexed="81"/>
            <rFont val="Tahoma"/>
            <family val="2"/>
          </rPr>
          <t xml:space="preserve">
Für den Erfolg von connect sind vor allem die Userzahlen verantwortlich. 
</t>
        </r>
        <r>
          <rPr>
            <u/>
            <sz val="9"/>
            <color indexed="81"/>
            <rFont val="Tahoma"/>
            <family val="2"/>
          </rPr>
          <t>Wachstumsraten der erfolgreichsten Social Networks</t>
        </r>
        <r>
          <rPr>
            <sz val="9"/>
            <color indexed="81"/>
            <rFont val="Tahoma"/>
            <family val="2"/>
          </rPr>
          <t xml:space="preserve">: 
- im dritten Jahr hatten sie bereits mehr als 4 Millionen User (bis zu 355 Mio - WeChat)
- erst ab ca. 600 Millionen Usern weniger Wachstum als 50 % pro Jahr (davor deutlich mehr)
- siehe "Vergleich Wachstum Mitbewerber" (Register-Tab unten links)
</t>
        </r>
        <r>
          <rPr>
            <b/>
            <sz val="9"/>
            <color indexed="81"/>
            <rFont val="Tahoma"/>
            <family val="2"/>
          </rPr>
          <t xml:space="preserve">
Erklärungen:</t>
        </r>
        <r>
          <rPr>
            <sz val="9"/>
            <color indexed="81"/>
            <rFont val="Tahoma"/>
            <family val="2"/>
          </rPr>
          <t xml:space="preserve">
-</t>
        </r>
        <r>
          <rPr>
            <u/>
            <sz val="9"/>
            <color indexed="81"/>
            <rFont val="Tahoma"/>
            <family val="2"/>
          </rPr>
          <t xml:space="preserve"> Summe A</t>
        </r>
        <r>
          <rPr>
            <sz val="9"/>
            <color indexed="81"/>
            <rFont val="Tahoma"/>
            <family val="2"/>
          </rPr>
          <t xml:space="preserve"> (Zeile 8) zählt alle </t>
        </r>
        <r>
          <rPr>
            <u/>
            <sz val="9"/>
            <color indexed="81"/>
            <rFont val="Tahoma"/>
            <family val="2"/>
          </rPr>
          <t>neuen User</t>
        </r>
        <r>
          <rPr>
            <sz val="9"/>
            <color indexed="81"/>
            <rFont val="Tahoma"/>
            <family val="2"/>
          </rPr>
          <t xml:space="preserve"> abzüglich der Sättigung(!) zusammen, die </t>
        </r>
        <r>
          <rPr>
            <u/>
            <sz val="9"/>
            <color indexed="81"/>
            <rFont val="Tahoma"/>
            <family val="2"/>
          </rPr>
          <t>relativ unabhängig von der bisherigen User-Basis neu zu connect kommen</t>
        </r>
        <r>
          <rPr>
            <sz val="9"/>
            <color indexed="81"/>
            <rFont val="Tahoma"/>
            <family val="2"/>
          </rPr>
          <t xml:space="preserve"> (bezahlte Werbung, Medien-Berichte, organische Suche). Ohne diese Zugänge könnten wir zu Beginn nicht ausreichend viele User aufbauen, um über Summe B (Zeile 14) durch die Nutzung aller bisherigen User für Marketing-Maßnahmen prozentual weiter zu wachsen. 
- </t>
        </r>
        <r>
          <rPr>
            <u/>
            <sz val="9"/>
            <color indexed="81"/>
            <rFont val="Tahoma"/>
            <family val="2"/>
          </rPr>
          <t>Summe B</t>
        </r>
        <r>
          <rPr>
            <sz val="9"/>
            <color indexed="81"/>
            <rFont val="Tahoma"/>
            <family val="2"/>
          </rPr>
          <t xml:space="preserve"> (Zeile 14) zählt alle </t>
        </r>
        <r>
          <rPr>
            <u/>
            <sz val="9"/>
            <color indexed="81"/>
            <rFont val="Tahoma"/>
            <family val="2"/>
          </rPr>
          <t>neuen User</t>
        </r>
        <r>
          <rPr>
            <sz val="9"/>
            <color indexed="81"/>
            <rFont val="Tahoma"/>
            <family val="2"/>
          </rPr>
          <t xml:space="preserve"> abzüglich der Sättigung(!) zusammen, die </t>
        </r>
        <r>
          <rPr>
            <u/>
            <sz val="9"/>
            <color indexed="81"/>
            <rFont val="Tahoma"/>
            <family val="2"/>
          </rPr>
          <t>abhängig von der bisherigen User-Basis neu dazukommen</t>
        </r>
        <r>
          <rPr>
            <sz val="9"/>
            <color indexed="81"/>
            <rFont val="Tahoma"/>
            <family val="2"/>
          </rPr>
          <t xml:space="preserve">. Neben Mundpropaganda (1.5) sind das weitere "Tricks" (1.6 bis 1.9), um unsere bestehenden User als Werbebotschafter verwenden zu können.
- Von Summe A und B müssen dann noch unter 1.11 jene User abgezogen werden, die connect wieder verlassen. Wir rechnen hier mit einem einstellbaren Prozentsatz.
</t>
        </r>
        <r>
          <rPr>
            <b/>
            <sz val="9"/>
            <color indexed="81"/>
            <rFont val="Tahoma"/>
            <family val="2"/>
          </rPr>
          <t>Warum wird connect genauso schnell wie die erfolgreichsten Social Networks wachsen?</t>
        </r>
        <r>
          <rPr>
            <sz val="9"/>
            <color indexed="81"/>
            <rFont val="Tahoma"/>
            <family val="2"/>
          </rPr>
          <t xml:space="preserve">
- Andere Netzwerke wachsen meist nur durch bezahlte Werbung oder Mundpropaganda. 
- connect hat mindestens 4 zusätzliche, </t>
        </r>
        <r>
          <rPr>
            <b/>
            <sz val="9"/>
            <color indexed="81"/>
            <rFont val="Tahoma"/>
            <family val="2"/>
          </rPr>
          <t>einzigartige</t>
        </r>
        <r>
          <rPr>
            <sz val="9"/>
            <color indexed="81"/>
            <rFont val="Tahoma"/>
            <family val="2"/>
          </rPr>
          <t xml:space="preserve"> Zugänge mit multiplikativem</t>
        </r>
        <r>
          <rPr>
            <b/>
            <sz val="9"/>
            <color indexed="81"/>
            <rFont val="Tahoma"/>
            <family val="2"/>
          </rPr>
          <t xml:space="preserve"> Schnellball-Effekt</t>
        </r>
        <r>
          <rPr>
            <sz val="9"/>
            <color indexed="81"/>
            <rFont val="Tahoma"/>
            <family val="2"/>
          </rPr>
          <t xml:space="preserve">: 
- 1.3 Medien-Kooperationen durch die Medienschnittstelle: hunderte bis tausende Medien werden über uns kostenlos berichten, unser Erfolg ist auch ihr Erfolg
- 1.6 Multi-Messenger-Anhänge: durch "sent by connect" verbreitet jeder unserer User in seinem gesamten Kontakte-Netzwerk unseren Namen und erklärt auf Nachfrage hin, was connect ist
- 1.7 Multi-Messenger-Sharings in anderen Netzwerken: die Attraktivität von connect wird in Form von (360-Grad)-Videos und Fotos in allen anderen Netzwerken verbreitet
- 1.9 Initialisierte Mundpropaganda: durch unsere einzigartigen Klingeltöne und das Tresor-Mini-Spiele fallen unsere User in der Öffentlichkeit ständig auf
- connect hat mit Release im Jahr 2020 viel mehr zu bieten, als diese anderen Netzwerke bei ihrem Start (Multi-Media, VR, Video-Telefonie, Verschlüsselung, Individualisierung, virtuelles Eigentum, Spiele, virtuelle Haustiere, Multi-Messenger...)
- connect hebt sich sowohl optisch, als auch funktionell komplett von allen Konkurrenten ab, es gibt nichts Vergleichbares; connect ist technologisch führend und sehr verspielt für junge Menschen (VR, virtuelle Haustiere, individualisierbares Zuhause etc.)
- mit dem Multi-Messenger integriert connect die Stärken der anderen Netzwerke in sich selbst
- connect bietet maximalen Datenschutz, allein das ist ein Nutzungsgrund für Millionen Menschen und im Bereich VR ist das Neuland und von noch größerer Bedeutung (weil intimer, persönlicher)
</t>
        </r>
      </text>
    </comment>
    <comment ref="A4" authorId="1">
      <text>
        <r>
          <rPr>
            <b/>
            <sz val="9"/>
            <color indexed="81"/>
            <rFont val="Tahoma"/>
            <family val="2"/>
          </rPr>
          <t xml:space="preserve">e.com:
- </t>
        </r>
        <r>
          <rPr>
            <sz val="9"/>
            <color indexed="81"/>
            <rFont val="Tahoma"/>
            <family val="2"/>
          </rPr>
          <t>Diese Werte können auch manuell für jedes Quartal extra eingetragen werden, sinnvoller ist aber die Berechnung der Multiplikation aus Kosten pro neuem User (1.0) und der Werbeausgaben. Diese Werte daher am besten nicht manuell überschreiben, sondern indirekt durch die Änderungen in 1.0 und 3.12 erreichen.
- Das besondere an diesem Wert: Wir können ihn fast beliebig durch Werbeausgaben hochtreiben (und die Ausgaben werden mittelfristig deutlich unter den Einnahmen liegen), daher erlaubt er hohe Flexibilität. Selbst, wenn connect wider Erwarten nicht "von selbst" zum viralen Hit wird, durch entsprechende finanzielle Nachhilfe lässt sich der Erfolg mit Sicherheit erzielen. 
- Im Gegensatz zu vielen anderen Produkten und speziell VR-Apps hat connect eine fast unbegrenzte Zielgruppe, weil connect auch in 3D oder 2D und auf jedem Gerät erlebt werden kann und daher als maximale Zielgruppe Milliarden Menschen erreichen kann. Viele Menschen verwenden mehrere Soziale Netzwerke parallel zueinander, weshalb auch die Konkurrenz nicht zwingend unseren Erfolg bremsen muss. 
- Aber natürlich müsste der Marketing-Fokus sich auf die 3D-Versionen beziehen, wenn der VR-Markt "ausgeschöpft" sein sollte. Dieser VR-Markt ist aktuell (Ende 2019) noch sehr klein (rund 10 Mio Menschen), wird aber laut Prognosen in den kommenden 2-3 Jahren enorm anwachsen. In diesem Markt mitzuwachsen erlaubt ein besseres Kosten-Nutzen-Verhältnis, als ein Marketing-Fokus auf Nicht-VR-User (hier ist der Wettbewerb stärker und die Zielgruppe weniger Technik-affin), d.h. ein Wachstum abseits von VR wird teurer werden, aber sich wegen unserer vielen Geschäftsmodelle trotzdem noch lohnen.  
- Vermutlich kommt aber connect genau zum richtigen Zeitpunkt heraus, dass der VR-Markt schneller oder genauso schnell wächst, wie connect und wir den klassischen Social Network Markt auch ohne Marketing-Fokus einfach als Bonus mitnehmen können, ohne uns darauf konzentrieren zu müssen. -</t>
        </r>
      </text>
    </comment>
    <comment ref="B4" authorId="0">
      <text>
        <r>
          <rPr>
            <b/>
            <sz val="9"/>
            <color indexed="81"/>
            <rFont val="Tahoma"/>
            <family val="2"/>
          </rPr>
          <t xml:space="preserve">Michael Schöggl:
Diese Wert bitte in 3.13 einstellen, danke!
</t>
        </r>
        <r>
          <rPr>
            <sz val="9"/>
            <color indexed="81"/>
            <rFont val="Tahoma"/>
            <family val="2"/>
          </rPr>
          <t xml:space="preserve">
</t>
        </r>
        <r>
          <rPr>
            <b/>
            <sz val="9"/>
            <color indexed="81"/>
            <rFont val="Tahoma"/>
            <family val="2"/>
          </rPr>
          <t>Prozentsatz der Einnahmen, die wir pro Monat in bezahlte Werbung stecken.</t>
        </r>
        <r>
          <rPr>
            <sz val="9"/>
            <color indexed="81"/>
            <rFont val="Tahoma"/>
            <family val="2"/>
          </rPr>
          <t xml:space="preserve"> 
</t>
        </r>
        <r>
          <rPr>
            <u/>
            <sz val="9"/>
            <color indexed="81"/>
            <rFont val="Tahoma"/>
            <family val="2"/>
          </rPr>
          <t>Begründung für diesen Wert:</t>
        </r>
        <r>
          <rPr>
            <sz val="9"/>
            <color indexed="81"/>
            <rFont val="Tahoma"/>
            <family val="2"/>
          </rPr>
          <t xml:space="preserve">
- Dieser Wert hängt natürlich davon ab, wie viel uns jeder neue User tatsächlich kostet und ein Einnahmen bringt. 
- Auf Basis der aktuellen Schätzwerte ist klar, dass jeder User sehr rasch deutlich mehr Geld einbringt, als er kostet - weshalb es solange Sinn für uns macht, möglichst viel Geld in Werbung zu stecken, solange wir ein gutes Verhältnis der Kosten pro neuem User aufrechterhalten können. 
- Irgendwann sind bestimmte Marketingkanäle oder die Zielgruppe erschöpft und bei anderen Zugängen sind die Kosten pro neuem User höher, eventuell zu hoch. Darum gibt es in der Spalte rechts auch einen Grenzwert, wie viel Geld wir maximal pro Monat in bezahlte Werbung stecken sollten.
- Dieser Wert ist absichtlich ein Prozentwert von den Einnahmen, weil wir damit nicht riskieren würden, uns zu stark zu verschulden. 
- Mit entsprechendem Investment könnten wir natürlich auch unabhängig von den Einnahmen deutlich mehr Geld für bezahlte Werbung ausgeben und viel schneller wachsen. Wie die Zahlen in dieser Tabelle und bei vergleichbaren, erfolgreichen Social Networks zeigen (die teilweise Wachstumsraten von mehr als 500% pro Jahr haben - über die ersten 2-4 Jahre hinweg), entwicklen sich die Einnahmen und Userzahlen fast exponentiell, was bedeutet, dass es durchaus Sinn machen würde, den Start gewaltig zu beschleunigen, weil wir dann auch viel schneller in die schwarzen Zahlen kommen. 
- Weil wir x % der Einnahmen in Werbung investieren, ist die Entwicklung der Userzahlen "noch" exponentieller als ohnehin schon, schließlich bekommen wir durch mehr User mehr Einnahmen und investieren einen Teil dieser Einnahmen wieder in die Akquise neuer User. Der Kreislauf dreht sich immer schneller.</t>
        </r>
      </text>
    </comment>
    <comment ref="C4" authorId="0">
      <text>
        <r>
          <rPr>
            <b/>
            <sz val="9"/>
            <color indexed="81"/>
            <rFont val="Tahoma"/>
            <family val="2"/>
          </rPr>
          <t>Michael Schöggl:
Diesen Wert bitte in 3.13 einstellen, danke.</t>
        </r>
        <r>
          <rPr>
            <sz val="9"/>
            <color indexed="81"/>
            <rFont val="Tahoma"/>
            <family val="2"/>
          </rPr>
          <t xml:space="preserve">
</t>
        </r>
        <r>
          <rPr>
            <b/>
            <sz val="9"/>
            <color indexed="81"/>
            <rFont val="Tahoma"/>
            <family val="2"/>
          </rPr>
          <t xml:space="preserve">Obergrenze. Wieviel € sollen maximalen pro Monat für Werbung ausgegeben werden?
</t>
        </r>
        <r>
          <rPr>
            <u/>
            <sz val="9"/>
            <color indexed="81"/>
            <rFont val="Tahoma"/>
            <family val="2"/>
          </rPr>
          <t>Begründung für diesen Wert</t>
        </r>
        <r>
          <rPr>
            <sz val="9"/>
            <color indexed="81"/>
            <rFont val="Tahoma"/>
            <family val="2"/>
          </rPr>
          <t xml:space="preserve">:
- Es lassen sich nicht unbegrenzt viele Menschen monatlich mit bezahlter Werbung erreichen, ohne dass die Kosten pro neuem User durch Ineffizienz der Werbezugänge deutlich ansteigen. 
- Der Wert mit 10.000.000 € ist extrem hoch gewählt, weil es für ein Produkt wie connect a.) extrem viele verschiedene Möglichkeiten gibt, effektiv Werbung zu machen, und wir b.) bei den aktuellen Schätzungen auch genügend finanzielle Mittel hätten, um die besten Marketing-Profis weltweit einsetzen zu können.
- Solange uns jeder neue User weniger kostet, als er (mittelfristig) bringt, lohnt es sich, so viel Geld wie möglich in Werbung und Wachstum zu stecken. </t>
        </r>
        <r>
          <rPr>
            <sz val="9"/>
            <color indexed="81"/>
            <rFont val="Tahoma"/>
            <family val="2"/>
          </rPr>
          <t xml:space="preserve">
</t>
        </r>
      </text>
    </comment>
    <comment ref="A5" authorId="1">
      <text>
        <r>
          <rPr>
            <b/>
            <sz val="9"/>
            <color indexed="81"/>
            <rFont val="Tahoma"/>
            <family val="2"/>
          </rPr>
          <t xml:space="preserve">e.com:
</t>
        </r>
        <r>
          <rPr>
            <sz val="9"/>
            <color indexed="81"/>
            <rFont val="Tahoma"/>
            <family val="2"/>
          </rPr>
          <t xml:space="preserve">
- Unser Ziel wird es sein, im App-Store-Ranking und auch bei Steam in den Listen ganz weit oben zu landen. Wenn uns das gelingt, erreichen wir allein über die organische Suche (weil connect kostenlos und neuartig ist) zuverlässig tausende neue User pro Monat.
- Bereits wenige Wochen nach der stillen Veröffentlichung - mit einer unfertigen Version, ohne jegliche Marketing-Maßnahmen oder ernste App-Store-Optimierungen wird connect von rund 2000 neuen Usern pro Monat auf Steam heruntergeladen, auch wenn die App als Early Access in praktisch keiner Liste auftaucht (das ändert sich mit dem Release 2020). 
- Auch im Google Play Store erhalten wir täglich zwischen 10 und 50 Downloads, Tendenz steigend. 
- connect wird auch für PlayStation (VR) veröffentlicht und dort ganz sicher - mangels Konkurrenz und weil es kostenlos ist - von den bestehenden rund 400.000 neuen PlayStation-VR-Usern pro Quartal (Tendenz stark steigend) einen mindestens 1-3%igen Anteil der User erreichen können - ohne Werbekosten. Gerade die PlayStation hat ein gewaltiges Potential, weil es hier praktisch keine Alternativen gibt - auch nicht in absehbarer Zukunft. Schon gar keinen Multimessenger, mit dem man Mails, FB-Nachrichten, SMS und mehr schreiben kann. 
- Die Organische Suche über App-Store-Ranking reicht bei manchen Spielen aus, um in wenigen Monaten hunderttausende neue User zu erreichen. Wir werden einen großen Fokus darauf legen, in all diesen "Stores" (für alle unterstütze Geräte) maximale Sichtbarkeit zu erzielen. Die Schätzwerte hier sind also überaus vorsichtig, da connect kostenlos ist, könnte hier deutlich mehr Schwung reinkommen, sobald wir im Ranking ganz oben sind. </t>
        </r>
      </text>
    </comment>
    <comment ref="B5" authorId="0">
      <text>
        <r>
          <rPr>
            <b/>
            <sz val="9"/>
            <color indexed="81"/>
            <rFont val="Tahoma"/>
            <family val="2"/>
          </rPr>
          <t xml:space="preserve">Michael Schöggl:
</t>
        </r>
        <r>
          <rPr>
            <sz val="9"/>
            <color indexed="81"/>
            <rFont val="Tahoma"/>
            <family val="2"/>
          </rPr>
          <t xml:space="preserve">
</t>
        </r>
        <r>
          <rPr>
            <b/>
            <sz val="9"/>
            <color indexed="81"/>
            <rFont val="Tahoma"/>
            <family val="2"/>
          </rPr>
          <t>Um welchen Fixwert steigert sich die Anzahl der neuen User durch organische Suche pro Quartal?</t>
        </r>
        <r>
          <rPr>
            <sz val="9"/>
            <color indexed="81"/>
            <rFont val="Tahoma"/>
            <family val="2"/>
          </rPr>
          <t xml:space="preserve">
</t>
        </r>
        <r>
          <rPr>
            <u/>
            <sz val="9"/>
            <color indexed="81"/>
            <rFont val="Tahoma"/>
            <family val="2"/>
          </rPr>
          <t>Begründung für diesen Wert</t>
        </r>
        <r>
          <rPr>
            <sz val="9"/>
            <color indexed="81"/>
            <rFont val="Tahoma"/>
            <family val="2"/>
          </rPr>
          <t>:
- Die Steigerung liegt u.a. daran, dass wir im Ranking weiter aufsteigen, je mehr Downloads wir erhalten und dadurch viel einfacher zu finden sind. Außerdem werden wir unseren App-Store-Auftritt optimieren (ASO) (u.a. weil wir zunehmend mehr Geld und damit auch Möglichkeiten in durch Outsourcing-Profis haben).
- Für mehr Argumente siehe Spalte rechts.</t>
        </r>
      </text>
    </comment>
    <comment ref="C5" authorId="0">
      <text>
        <r>
          <rPr>
            <b/>
            <sz val="9"/>
            <color indexed="81"/>
            <rFont val="Tahoma"/>
            <family val="2"/>
          </rPr>
          <t xml:space="preserve">Michael Schöggl:
</t>
        </r>
        <r>
          <rPr>
            <sz val="9"/>
            <color indexed="81"/>
            <rFont val="Tahoma"/>
            <family val="2"/>
          </rPr>
          <t xml:space="preserve">
</t>
        </r>
        <r>
          <rPr>
            <b/>
            <sz val="9"/>
            <color indexed="81"/>
            <rFont val="Tahoma"/>
            <family val="2"/>
          </rPr>
          <t>Um wie viel Prozent erhöht sich der Wert pro Quartal?</t>
        </r>
        <r>
          <rPr>
            <sz val="9"/>
            <color indexed="81"/>
            <rFont val="Tahoma"/>
            <family val="2"/>
          </rPr>
          <t xml:space="preserve">
</t>
        </r>
        <r>
          <rPr>
            <u/>
            <sz val="9"/>
            <color indexed="81"/>
            <rFont val="Tahoma"/>
            <family val="2"/>
          </rPr>
          <t>Begründung für diesen Wert</t>
        </r>
        <r>
          <rPr>
            <sz val="9"/>
            <color indexed="81"/>
            <rFont val="Tahoma"/>
            <family val="2"/>
          </rPr>
          <t xml:space="preserve">:
- Die Steigerung wird nicht linear sein (also immer um einen Fixwert pro Quartal mehr), sondern umso stärker zunehmen, je bekannter die App wird und umso weiter sie auch im Ranking aufsteigt. 
- Wenn wir z.B. unter den Top 10 landen, dürfen wir allein dadurch mit Millionen Views pro Monat rechnen und insofern auch problemlos mit mehreren tausend neuen Usern. 
- Bis Ende 2022 sollte uns ein Platz unter den Top 10 für einige wichtige Keywords bzw. Kategorien gelingen. Mit entsprechendem Kapital lässt sich das aber schon viel früher erreichen.
- Wir werden einen starken Fokus auf App-Store-Optimierung legen und auch Zeit und Geld investieren, um auf möglichst vielen Plattformen möglichst einfach gefunden zu werden. Diese Investments sind primär Personalkosten (3.2), weshalb sich eine eigene Darstellung hier nicht lohnt.
- Umso vielseitiger connect (funktionell) wird, umso mehr Keywords passen für die organische Suche und umso höher steigen wir auch bei neuen Keywords im Ranking auf. 
- Wenn Partner oder Medien auf uns mit Links verweisen, beeinflußt das unser Ranking ebenso positiv. 
- Wir werden auch später Usern für (positive) Bewertungen In-App-Gegenleistungen geben, je positiver die Bewertung, umso höher steigen wir im Ranking. 
- Je mehr Downloads wir bereits erzielt haben, umso höher steigen wir im Ranking und umso mehr finden uns durch organische Suche.
- Unser CTO hat ganz alleine Apps programmiert, die mehr als 600 User </t>
        </r>
        <r>
          <rPr>
            <i/>
            <sz val="9"/>
            <color indexed="81"/>
            <rFont val="Tahoma"/>
            <family val="2"/>
          </rPr>
          <t>pro Tag</t>
        </r>
        <r>
          <rPr>
            <sz val="9"/>
            <color indexed="81"/>
            <rFont val="Tahoma"/>
            <family val="2"/>
          </rPr>
          <t xml:space="preserve"> an Downloads ohne irgendwelche Marketing-Maßnahmen allein aufgrund der organischen Suche verzeichnen (d.h. 18.000 im Monat). Unsere Werte hier sind sehr bescheiden.</t>
        </r>
      </text>
    </comment>
    <comment ref="A6" authorId="1">
      <text>
        <r>
          <rPr>
            <b/>
            <sz val="9"/>
            <color indexed="81"/>
            <rFont val="Tahoma"/>
            <family val="2"/>
          </rPr>
          <t xml:space="preserve">e.com:
Violette Marketing-Zugänge sind neuartige Konzepte von connect, die anderen Social Networks nicht zur Verfügung standen, oder zumindest nicht in diesem Ausmaß </t>
        </r>
        <r>
          <rPr>
            <sz val="9"/>
            <color indexed="81"/>
            <rFont val="Tahoma"/>
            <family val="2"/>
          </rPr>
          <t>(z.B. Medien direkt zur Berichterstattung zu motivieren (1.3) bzw. Usern für das Werben neuer User eine interessante Belohnung in Form von limitierten, exklusive In-App-Inhalten wie virtuellen Haustieren, etc. zu geben, die sie auch wirklich wollen (1.8))</t>
        </r>
        <r>
          <rPr>
            <b/>
            <sz val="9"/>
            <color indexed="81"/>
            <rFont val="Tahoma"/>
            <family val="2"/>
          </rPr>
          <t xml:space="preserve">. 
</t>
        </r>
        <r>
          <rPr>
            <sz val="9"/>
            <color indexed="81"/>
            <rFont val="Tahoma"/>
            <family val="2"/>
          </rPr>
          <t xml:space="preserve">
- Ab Q3 in 2020 ist connect fertig und wir werden bis dahin aufgebaute Medien-Kooperationen nutzen, um connect durch Berichterstattung bekannt zu machen.
- Bis dahin werden wir auch genügend Testuser haben, um den Medien unser Thema als berichtenswert zu verkaufen. 
- Manche Medien erreichen Millionen Menschen, wir haben die Kontaktdaten von 200.000 Medien weltweit, denen wir anbieten können, unsere Medienschnittstelle kostenlos verwenden zu können, wenn sie dafür über uns berichten. 
- Zu Beginn wird das Interesse zaghaft sein, aber wenn wir ein paar größere Medien durch persönliche Bemühungen überzeugen konnten, werden rasch immer mehr Medie mehr auf den "Zug aufspringen" und sich die kostenlose Schnittstelle durch Berichterstattung sichern.
- Die Medien müssen regelmäßig für die Schjnittstelle berichten und langfristig werden fast alle Medien ein Interesse haben, weil wir kostenlose neue Kunden bringen, über ein bereits an Fahrt gewinnendes neues Social Network in VR (bzw. die Verwirklichung von Träumen) zu berichten.</t>
        </r>
      </text>
    </comment>
    <comment ref="B6" authorId="0">
      <text>
        <r>
          <rPr>
            <b/>
            <sz val="9"/>
            <color indexed="81"/>
            <rFont val="Tahoma"/>
            <family val="2"/>
          </rPr>
          <t>Michael Schöggl:</t>
        </r>
        <r>
          <rPr>
            <sz val="9"/>
            <color indexed="81"/>
            <rFont val="Tahoma"/>
            <family val="2"/>
          </rPr>
          <t xml:space="preserve">
</t>
        </r>
        <r>
          <rPr>
            <b/>
            <sz val="9"/>
            <color indexed="81"/>
            <rFont val="Tahoma"/>
            <family val="2"/>
          </rPr>
          <t>Von wievielen neuen Usern durch Medienberichte gehen wir zu Beginn aus?</t>
        </r>
        <r>
          <rPr>
            <sz val="9"/>
            <color indexed="81"/>
            <rFont val="Tahoma"/>
            <family val="2"/>
          </rPr>
          <t xml:space="preserve"> (danach nur noch prozentuale Steigerung)
</t>
        </r>
        <r>
          <rPr>
            <u/>
            <sz val="9"/>
            <color indexed="81"/>
            <rFont val="Tahoma"/>
            <family val="2"/>
          </rPr>
          <t>Begründung für diesen Wert:</t>
        </r>
        <r>
          <rPr>
            <sz val="9"/>
            <color indexed="81"/>
            <rFont val="Tahoma"/>
            <family val="2"/>
          </rPr>
          <t xml:space="preserve">
- 100 neue User pro Monat durch Medienberichte sind realistisch, das entspricht ca. 1-2 kleineren Berichten im Monat. Wir haben bereits fixe Zusagen von z.B. der Antenne Steiermark und Kärnten, dass sie mehrmals über uns berichten wollen. 
- Auch gab es vor Veröffentlichung der ersten Testversionen bereits ca. 30 Medienberichte über uns, u.a. vom ORF, Kleine Zeitung, Der Standard, OE24 (3 Berichte) und KroneHit. Leider waren all diese Medienberichte zu früh, die Interessierten hatten noch keine App, die sie probieren konnten, teilweise noch nicht einmal einen Homepage-Link. Wir warten nun absichtlich, bis connect einen guten Eindruck bei allen Testern hinterlässt, bevor wir erneut Zeit und Energie in die Medienberichterstattung stecken. Durch unsere Medienschnittstelle werden wir sehr leicht Berichterstattung erhalten, sobald connect fertiggestellt ist und ein positives Kundenerlebnis gewährleistet.
- Die Kronenzeitung und die Kleine Zeitung haben einer (weiteren) Berichterstattung bereits zugesagt. Rund 15 kleinere VR-Netzwerke haben bereits (lange vor einer testbaren Version und somit fast wirkungslos) berichtet und werden ziemlich sicher wieder berichten.
</t>
        </r>
      </text>
    </comment>
    <comment ref="C6" authorId="0">
      <text>
        <r>
          <rPr>
            <b/>
            <sz val="9"/>
            <color indexed="81"/>
            <rFont val="Tahoma"/>
            <family val="2"/>
          </rPr>
          <t>Michael Schöggl:</t>
        </r>
        <r>
          <rPr>
            <sz val="9"/>
            <color indexed="81"/>
            <rFont val="Tahoma"/>
            <family val="2"/>
          </rPr>
          <t xml:space="preserve">
</t>
        </r>
        <r>
          <rPr>
            <b/>
            <sz val="9"/>
            <color indexed="81"/>
            <rFont val="Tahoma"/>
            <family val="2"/>
          </rPr>
          <t>Um wieviel Prozent der aktuellen Userzahl steigen die neuen User durch Medienberichte pro Monat?</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eher werden Medien über uns berichten wollen. 
- Je mehr User wir haben, umso mehr Medien werden an unserer Medienschnittstelle interessiert sein (und berichten, um sie kostenlos verwenden zu können). 
- Folglich wird dieser Wert auch ohne Kosten für uns mit unserer User-Basis mit anwachsen. 
- 2 % Wachstum pro Monat bedeutet, dass durch die Berichterstattung der Medien unsere Userzahl pro Jahr um nicht ganz 25 % wächst. 
- Dieser Wert ist womöglich viel zu pessimistisch, da es viele Soziale Netzwerke, Spiele oder Trends gibt, die innerhalb kürzester Zeit (nachdem die Medien über sie berichten) "explodieren" (d.h. mehrere hundert bis tausend Prozent Wachstum pro Jahr, bis sie eine gewisse Größe erreicht haben und es keine Zielgruppe mehr für sie gibt). Siehe z.B. Pokemon Go. 
- Im Gegensatz zu anderen Netzwerken bieten wir den Medien für ihre Berichterstattung eine Gegenleistung durch unsere Medienschnittstelle und lassen sie an unserem Erfolg teilhaben.</t>
        </r>
      </text>
    </comment>
    <comment ref="A7" authorId="1">
      <text>
        <r>
          <rPr>
            <b/>
            <sz val="9"/>
            <color indexed="81"/>
            <rFont val="Tahoma"/>
            <family val="2"/>
          </rPr>
          <t xml:space="preserve">e.com:
</t>
        </r>
        <r>
          <rPr>
            <sz val="9"/>
            <color indexed="81"/>
            <rFont val="Tahoma"/>
            <family val="2"/>
          </rPr>
          <t xml:space="preserve">
- Ab 2021 sollten wir genügend User haben, um für Product Placement Partner, Medien-Partner, Online-Shops und Drittanbieter interessant genug zu sein. 
- Ab diesem Zeitpunkt werden diese Anbieter auf ihre eigenen Leistungen in connect hinweisen und dadurch indirekt für uns Werbung machen. Primär gilt dies natürlich für Drittanbieter und verknüpfte Online-Shops, Medien-Berichterstattung wird unter 1.3 extra angeführt und Product Placement Partner werden weniger aktiv sein.</t>
        </r>
      </text>
    </comment>
    <comment ref="B7" authorId="0">
      <text>
        <r>
          <rPr>
            <b/>
            <sz val="9"/>
            <color indexed="81"/>
            <rFont val="Tahoma"/>
            <family val="2"/>
          </rPr>
          <t>Michael Schöggl:</t>
        </r>
        <r>
          <rPr>
            <sz val="9"/>
            <color indexed="81"/>
            <rFont val="Tahoma"/>
            <family val="2"/>
          </rPr>
          <t xml:space="preserve">
</t>
        </r>
        <r>
          <rPr>
            <b/>
            <sz val="9"/>
            <color indexed="81"/>
            <rFont val="Tahoma"/>
            <family val="2"/>
          </rPr>
          <t xml:space="preserve">Von wievielen neuen Usern durch die Werbung unserer Partner </t>
        </r>
        <r>
          <rPr>
            <sz val="9"/>
            <color indexed="81"/>
            <rFont val="Tahoma"/>
            <family val="2"/>
          </rPr>
          <t>(u.a. Online-Shopping, VR-Shops, Drittanbieter, etc.)</t>
        </r>
        <r>
          <rPr>
            <b/>
            <sz val="9"/>
            <color indexed="81"/>
            <rFont val="Tahoma"/>
            <family val="2"/>
          </rPr>
          <t xml:space="preserve"> gehen wir zu Beginn aus?</t>
        </r>
        <r>
          <rPr>
            <sz val="9"/>
            <color indexed="81"/>
            <rFont val="Tahoma"/>
            <family val="2"/>
          </rPr>
          <t xml:space="preserve"> (danach nur noch prozentuale Steigerung)
</t>
        </r>
        <r>
          <rPr>
            <u/>
            <sz val="9"/>
            <color indexed="81"/>
            <rFont val="Tahoma"/>
            <family val="2"/>
          </rPr>
          <t>Begründung für diesen Wert:</t>
        </r>
        <r>
          <rPr>
            <sz val="9"/>
            <color indexed="81"/>
            <rFont val="Tahoma"/>
            <family val="2"/>
          </rPr>
          <t xml:space="preserve">
- Im Gegenzug zu günstigeren Konditionen könnten unsere Partner indirekt für uns werben (z.B. indem sie darauf hinweisen, dass ihre Produkte auch in einem VR-Shop - erreichbar z.B. über connect - gekauft werden können). 
- Drittanbieter werden automatisch auf uns verweisen müssen, um ihre Inhalte verkaufen zu können. 
- Wenn connect erfolgreich wird, werden ähnlich wie bei anderen Netzwerken viele Unternehmen in ihrem Erfolg von uns abhängig - somit werden wir automatisch auch zum Thema von Gesprächen oder Öffentlichkeitsarbeit etc. gemacht.
- Wir rechnen ohnehin erst ab 2021 mit Partnern (auch wenn es bereits fast ein Dutzend konkrete Interessenten gibt), bis dahin ist ein Startwert von 100 sehr realistisch.
- Dieser Wert hast praktisch keine Bedeutung, die Steigerung basiert nur auf dem prozentualen Wert, dieser Wert fließt nur insofern ein, dass er jeden Monat als "Fixwert" miteinfließt.</t>
        </r>
      </text>
    </comment>
    <comment ref="C7" authorId="0">
      <text>
        <r>
          <rPr>
            <b/>
            <sz val="9"/>
            <color indexed="81"/>
            <rFont val="Tahoma"/>
            <family val="2"/>
          </rPr>
          <t xml:space="preserve">Michael Schöggl:
</t>
        </r>
        <r>
          <rPr>
            <sz val="9"/>
            <color indexed="81"/>
            <rFont val="Tahoma"/>
            <family val="2"/>
          </rPr>
          <t xml:space="preserve">
</t>
        </r>
        <r>
          <rPr>
            <b/>
            <sz val="9"/>
            <color indexed="81"/>
            <rFont val="Tahoma"/>
            <family val="2"/>
          </rPr>
          <t>Um wieviel Prozent der aktuellen Userzahl steigen die neuen User durch Medienberichte pro Monat?</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mehr Partner haben wir und umso stärker kommen wir automatisch ins Gespräch oder rücken in die Öffentlichkeit. 
- Vor allem Drittanbieter und VR-Shops sind von uns abhängig, wenn sie für die eigenen Angebote werben wollen, müssen sie indirekt auch für uns werben. Denn kaum ein User lädt eine eigene App herunter, um z.B. im VR-Shop eines regionalen Unternehmens (das er nicht einmal kennt) virtuell einkaufen gehen zu können.
- Ein Wachstum von 0,4 % pro Monat entspricht knapp 5 % Wachstum der gesamten Userzahl pro Jahr aufgrund der indirekten Werbung unserer Partner.
- Wenn Drittanbieter Inhalte anbieten (z.B. virtuelle Haustiere oder alternative VR-Szenen wie das Piratenschiff aus Fluch der Karibik), die sich nur in Verbindung mit connect verwenden lassen (was wir durch Exklusiv-Verträge steigern können), dann muss sich jeder, der diese Inhalte will, zuvor connect holen.</t>
        </r>
      </text>
    </comment>
    <comment ref="A8"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Für eine realistische Einschätzung der Userzahlen-Entwicklung müssen wir von einer Sättigung der Zielgruppe ausgehen, bzw. von einer Zielgruppen-Obergrenze. </t>
        </r>
        <r>
          <rPr>
            <sz val="9"/>
            <color indexed="81"/>
            <rFont val="Tahoma"/>
            <family val="2"/>
          </rPr>
          <t xml:space="preserve">
</t>
        </r>
        <r>
          <rPr>
            <u/>
            <sz val="9"/>
            <color indexed="81"/>
            <rFont val="Tahoma"/>
            <family val="2"/>
          </rPr>
          <t>Wir verwenden 2 Werte</t>
        </r>
        <r>
          <rPr>
            <sz val="9"/>
            <color indexed="81"/>
            <rFont val="Tahoma"/>
            <family val="2"/>
          </rPr>
          <t xml:space="preserve">:
- maximale Zielgruppe bis Ende 2020: Primär VR-User (und Gamer für die 3D-Nutzung), weil sich unser Marketing auf diese Zielgruppe konzentriert; natürlich können wir aber auch darüber hinaus Menschen ansprechen.
- maximale Zielgruppe ab 2021: Alle Social Media bzw. Network und Messenger Nutzer, jedoch nur jene, für die connect - auch OHNE den virtuellen Raum - einen ausreichend großen Mehrwert bietet (Multi-Messenger, Datenschutz, Multimedia, Geräteunabhängigkeit, etc.), schließlich haben wir Konkurrenz und unser Produkt wird selbst dann, wenn wir alles individualisierbar machen und verschiedene Versionen rausbringen, niemals alle Menschen ansprechen können
</t>
        </r>
        <r>
          <rPr>
            <u/>
            <sz val="9"/>
            <color indexed="81"/>
            <rFont val="Tahoma"/>
            <family val="2"/>
          </rPr>
          <t>Erklärung zu den Auswirkungen dieser Werte</t>
        </r>
        <r>
          <rPr>
            <sz val="9"/>
            <color indexed="81"/>
            <rFont val="Tahoma"/>
            <family val="2"/>
          </rPr>
          <t xml:space="preserve">:
- Die Berechnung erfolgt so, dass je stärker sich unsere Userzahlen diesen Grenzwerten nähern, die Akquise neuer User umso unwahrscheinlicher wird.
- Bei 0 Usern und einer Grenze von 300, ist die Akquise-Rate bei 100%. 
- Bei 200 Usern und einer Grenze von 300, ist sie nur noch bei 0,33%.
- Alle Wachstumswerte (bis auf die negativen Absprünge, siehe 1.11) sind von diesem Multiplikator betroffen und sinken entsprechend der Annäherung zur Zielgruppen-Obergrenze immer stärker Richtung 0.
- Diese Berechnungen sind absichtlich sehr vorsichtig und limitierend. Eigentlich wächst der VR Markt laut Prognosen stark an und genau genommen könnten wir langfristig durchaus 2 Milliarden Menschen, bzw. bereits 2021 eine Zielgruppe abseits der VR-User erreichen. Aber unsere Werte sind zu gut um glaubwürdig zu sein, wenn sie nicht mit so einer Obergrenze gebremst werden, daher dieses Korrektiv.
</t>
        </r>
      </text>
    </comment>
    <comment ref="B8" authorId="0">
      <text>
        <r>
          <rPr>
            <b/>
            <sz val="9"/>
            <color indexed="81"/>
            <rFont val="Tahoma"/>
            <family val="2"/>
          </rPr>
          <t xml:space="preserve">Michael Schöggl:
Wie groß ist unsere </t>
        </r>
        <r>
          <rPr>
            <b/>
            <i/>
            <sz val="9"/>
            <color indexed="81"/>
            <rFont val="Tahoma"/>
            <family val="2"/>
          </rPr>
          <t>primäre</t>
        </r>
        <r>
          <rPr>
            <b/>
            <sz val="9"/>
            <color indexed="81"/>
            <rFont val="Tahoma"/>
            <family val="2"/>
          </rPr>
          <t xml:space="preserve"> Zielgruppe, die wir bis Ende 2020 erreichen können? - </t>
        </r>
        <r>
          <rPr>
            <b/>
            <u/>
            <sz val="9"/>
            <color indexed="81"/>
            <rFont val="Tahoma"/>
            <family val="2"/>
          </rPr>
          <t>Bezogen auf Werbezugänge und Medienberichte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Zu Beginn Fokus auf VR-User, weil wir diesen den größten Mehrwert bieten und Gamer eine sehr dankbare, zahlkräftige Zielgruppe sind. 2019 sind das mindestens 10 Millionen User weltweit, die wir über unsere aktuell unterstützten Geräte (Android, HTC Vive, Oculus) und Plattformen (Play Store und Steam) erreichen können.
- Bis Mitte 2020: Fertigstellung der "connect Basic"-Version, d.h. einer nativen Android und iOS Version von connect, die dieselben Funktionen umfasst, aber in einem simplen 2D-Design (vlg. WhatsApp und Co). Diese Version unterstützt dann wirklich alle Smartphones und läuft genauso schnell, wie WhatsApp und Co, mit Fokus auf Multi-Messenger, Multimedia und Verschlüsselung zielt sie auf den konservativeren, weniger verspielten Massenmarkt ab, bis VR sich endgültig durchgesetzt hat.
- Bis Mitte 2020: Fertigstellung der PlayStation-Version und der iOS-Version.
- Bis Ende 2020: Fertigstellung des Multi-Messengers für alle Geräte (inklusive PlayStation und iOS) und alle größeren Netzwerke (u.a. zusätzlich WhatsApp, WeChat, Snapchat, Skype, Twitter, Instagram etc.). 
- Ab 2021 Fokus auf neue Zielgruppe: alle Social Network / Messenger-User weltweit; bis dahin haben wir genug Funktionen (z.B. Multi-Messenger) und Inhalte (z.B. Medien-Inhalte der Partner) um auch den Massenmarkt anzusprechen. Unsere bisherigen VR-/3D-User werden als treue Fans zu Mundpropaganda motiviert (siehe 1.7 bis 1.9).
</t>
        </r>
      </text>
    </comment>
    <comment ref="C8" authorId="0">
      <text>
        <r>
          <rPr>
            <b/>
            <sz val="9"/>
            <color indexed="81"/>
            <rFont val="Tahoma"/>
            <family val="2"/>
          </rPr>
          <t>Michael Schöggl:</t>
        </r>
        <r>
          <rPr>
            <sz val="9"/>
            <color indexed="81"/>
            <rFont val="Tahoma"/>
            <family val="2"/>
          </rPr>
          <t xml:space="preserve">
</t>
        </r>
        <r>
          <rPr>
            <b/>
            <sz val="9"/>
            <color indexed="81"/>
            <rFont val="Tahoma"/>
            <family val="2"/>
          </rPr>
          <t xml:space="preserve">
Wie groß ist unsere </t>
        </r>
        <r>
          <rPr>
            <b/>
            <i/>
            <sz val="9"/>
            <color indexed="81"/>
            <rFont val="Tahoma"/>
            <family val="2"/>
          </rPr>
          <t>primäre</t>
        </r>
        <r>
          <rPr>
            <b/>
            <sz val="9"/>
            <color indexed="81"/>
            <rFont val="Tahoma"/>
            <family val="2"/>
          </rPr>
          <t xml:space="preserve"> Zielgruppe, die wir ab 2020 erreichen können? - </t>
        </r>
        <r>
          <rPr>
            <b/>
            <u/>
            <sz val="9"/>
            <color indexed="81"/>
            <rFont val="Tahoma"/>
            <family val="2"/>
          </rPr>
          <t>Bezogen auf Werbezugänge und Medienberichte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Das internationale Interesse an Social Networks, Social Media, Messenger, VR, neuen Technologien und Apps ist sehr groß, gerade auch was Medienberichte oder die organische Suche im App-Store etc. betrifft. Daher sollte hier genügend "Luft nach oben" für unsere Werbezugänge 1.1 bis 1.4 sein. 
- Wir können langfristig fast allen Medien (Video, Audio, Print, Internet, VR - für praktisch jedes Thema) durch unseren VR-Zugang - bzw. die klassische 2D-Anzeige in einer Multimedia-App - etwas bieten und sie daher auch zur Berichterstattung motivieren.
- Trotzdem werden die Werte realistischer, wenn wir eine Obergrenze von rund 300 Millionen festlegen, da dies ungefähr die Anzahl der Menschen ist, denen connect einen ausreichend großen Mehrwert bietet und die wir mit unserem Design und unseren Funktionen ansprechen. 
- Diese "Bremse" ist aber eigentlich nicht notwendig, denn mit neuen Versionen (z.B. ohne 3D, als klassische 2D-Variante), mehr unterstützten Geräten, maximaler Individualisierbarkeit und zukünftigen, neuen, noch nicht beschriebenen Funktionen können wir unsere Zielgruppe bestimmt schneller weitern, als wir wachsen.</t>
        </r>
      </text>
    </comment>
    <comment ref="J8" authorId="0">
      <text>
        <r>
          <rPr>
            <b/>
            <sz val="9"/>
            <color indexed="81"/>
            <rFont val="Tahoma"/>
            <family val="2"/>
          </rPr>
          <t xml:space="preserve">Michael Schöggl:
</t>
        </r>
        <r>
          <rPr>
            <sz val="9"/>
            <color indexed="81"/>
            <rFont val="Tahoma"/>
            <family val="2"/>
          </rPr>
          <t xml:space="preserve">
Summe neue User durch 1.1 bis 1.4 </t>
        </r>
        <r>
          <rPr>
            <u/>
            <sz val="9"/>
            <color indexed="81"/>
            <rFont val="Tahoma"/>
            <family val="2"/>
          </rPr>
          <t>pro Jahr</t>
        </r>
        <r>
          <rPr>
            <sz val="9"/>
            <color indexed="81"/>
            <rFont val="Tahoma"/>
            <family val="2"/>
          </rPr>
          <t>. Die Werte links davon sind pro Monat und nicht pro Quartal, das hier ist also nicht die Summe der Werte links, sondern das Jahresergebnis.</t>
        </r>
      </text>
    </comment>
    <comment ref="A9" authorId="1">
      <text>
        <r>
          <rPr>
            <b/>
            <sz val="9"/>
            <color indexed="81"/>
            <rFont val="Tahoma"/>
            <family val="2"/>
          </rPr>
          <t xml:space="preserve">e.com:
</t>
        </r>
        <r>
          <rPr>
            <sz val="9"/>
            <color indexed="81"/>
            <rFont val="Tahoma"/>
            <family val="2"/>
          </rPr>
          <t xml:space="preserve">
- Ab Mitte 2020 - wenn connect fertiggestellt ist und seinen versprochenen Mehrwert als geräteunabhängiger Multimessenger, als Multimedia-Zentrum und als VR- bzw. Spiel-Erlebnis beweist - wird auch die Mundpropaganda stark ansteigen. 
- Zu diesem Zeitpunkt wird VR auch ein Trend mit steigendem medialen Interesse sein (u.a. wegen der Offensiven vieler großer Unternehmen und Steven Spielbergs Verfilmung von Ready Player One - das wie eine Vorwegnahme von connect wirkt), was uns in die Hände spielt. 
- Wir rechnen damit, dass jeder User im Laufe eines Jahres im Schnitt genügend anderen Menschen von connect erzählt hat (die Gelegenheit ergibt sich bei Messengern / Social Networks deutlich öfter, als z.B. bei Medikamenten), dass ein weiterer User dadurch gewonnen werden kann. 
- Das ist eine sehr vorsichtige Schätzung. Viele erste VR-User werden Freunden diese neue virtuelle Welt mit Start in connect zeigen (u.a. weil wir eine sehr beeindruckende Grafik und viel Interaktivität und Invididualisierbarkeit haben und jeder gerne zeigt, was er sich "Besonderes" zusammengebaut bzw. erworben hat (z.B. sehr seltene virtuelle Haustiere mit besonderen Kunststücken)).
- Auch der Vergleich mit anderen innovativen Netzwerken wie z.B. Facebook, Twitter oder Instagram zeigt, dass allein durch Mundpropaganda ein Netzwerk auch viel schneller wachsen kann, als in unserer Schätzung. Facebook und Co haben in den ersten Jahren ihre Userzahlen verfünffacht (hier wurden die Absprünge bereits abgezogen) - davon sind unsere Schätzwerte fast um den Faktor 10 entfernt.
- connect ist sehr visuell, lässt sich großartig präsentieren, ist ein Trend-Thema, ein Thema, das fast jeden Menschen betrifft oder zumindest Gesprächsstoff gibt (wenngleich auch negativ, um über diese virtuelle Welten zu schimpfen). 
- Wir werden alles tun, um Usern gute Gründe zu geben, connect herzuzeigen, das ist einer der wichtigsten Foki unserer Entwicklung und dieser zeigt sich auch in den nachfolgenden "Marketing-Tricks", mit denen wir die Mundpropaganda nochmals gezielt anheizen und belohnen können (siehe 1.6 bis 1.9 - als Beispiele). </t>
        </r>
      </text>
    </comment>
    <comment ref="B9" authorId="0">
      <text>
        <r>
          <rPr>
            <b/>
            <sz val="9"/>
            <color indexed="81"/>
            <rFont val="Tahoma"/>
            <family val="2"/>
          </rPr>
          <t>Michael Schöggl:</t>
        </r>
        <r>
          <rPr>
            <sz val="9"/>
            <color indexed="81"/>
            <rFont val="Tahoma"/>
            <family val="2"/>
          </rPr>
          <t xml:space="preserve">
</t>
        </r>
        <r>
          <rPr>
            <b/>
            <sz val="9"/>
            <color indexed="81"/>
            <rFont val="Tahoma"/>
            <family val="2"/>
          </rPr>
          <t>Um wieviel Prozent pro Monat wächst unsere Userzahl allein durch Mundpropaganda?</t>
        </r>
        <r>
          <rPr>
            <sz val="9"/>
            <color indexed="81"/>
            <rFont val="Tahoma"/>
            <family val="2"/>
          </rPr>
          <t xml:space="preserve">
</t>
        </r>
        <r>
          <rPr>
            <u/>
            <sz val="9"/>
            <color indexed="81"/>
            <rFont val="Tahoma"/>
            <family val="2"/>
          </rPr>
          <t>Begründung für diesen Wert:</t>
        </r>
        <r>
          <rPr>
            <sz val="9"/>
            <color indexed="81"/>
            <rFont val="Tahoma"/>
            <family val="2"/>
          </rPr>
          <t xml:space="preserve">
- connect spricht eine sehr breite Zielgruppe an, weil es jedes Gerät unterstützt, in 2D, 3D oder VR verwendbar ist und klassische menschliche Grundbedürfnisse (Erhöhung des Sozialstatus, Unterhaltung, Kommunikation, Anerkennung, Aufmerksamkeit, Kontrolle, Sicherheit etc.) befriedigt. Darauf liegt unser Fokus, siehe Businessplan. 
- connect ist neuartig und technisch modern genug, um ein spannendes Thema im Freundeskreis zu sein. Es hebt sich komplett von anderen Netzwerken ab und Menschen zeigen gerne Neuheiten her, anstatt bereits bekannte oder vertraute Dinge.
- Das Interesse an VR wird in den nächsten Monaten mit immer besserer Hardware weiter zunehmen, wir wachsen hier mit. Der gedankliche und damit auch sprachliche Sprung von VR zum virtuellen Zuhause ist nicht weit, zumal wir auch ein Netzwerk für alle VR-Inhalte aufbauen wollen.
- Ein virtuelles Zuhause, virtuelle Haustiere und ein möglichst realistisches VR-Erlebnis sind Themen, die viele Menschen bewegen.
- In connect baut sich der User seine eigene Welt auf und "investiert" in die Erhöhung seines Sozialstatus durch limitierte, besondere Inhalte. Diese will er seinen Freunden zeigen, er will damit angeben.
- Ein Wert von ca. 6 % würde bedeuten, dass im Laufe eines Jahres ein connect User einen weiteren Menschen durch Mundpropaganda für uns gewinnen konnte. Das ist sehr realistisch, weil unsere User viel Zeit in connect verbringen werden (für Spiele, virtuelle Haustiere, Kommunikation, Multimedia und VR-Erlebnisse). Je bedeutsamer connect für die User wird (durch z.B. exklusive Inhalte), umso mehr werden sie es anderen zeigen.</t>
        </r>
      </text>
    </comment>
    <comment ref="C9"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Prozent pro Quartal sinkt/steigt das monatliche Wachstum durch Mundpropaganda?</t>
        </r>
        <r>
          <rPr>
            <sz val="9"/>
            <color indexed="81"/>
            <rFont val="Tahoma"/>
            <family val="2"/>
          </rPr>
          <t xml:space="preserve">
</t>
        </r>
        <r>
          <rPr>
            <u/>
            <sz val="9"/>
            <color indexed="81"/>
            <rFont val="Tahoma"/>
            <family val="2"/>
          </rPr>
          <t>Begründung für diesen Wert:</t>
        </r>
        <r>
          <rPr>
            <sz val="9"/>
            <color indexed="81"/>
            <rFont val="Tahoma"/>
            <family val="2"/>
          </rPr>
          <t xml:space="preserve">
- Umso mehr connect zu bieten hat, umso wahrscheinlicher werden unsere User es ihren Freunden zeigen - und viele besondere Funktionen (z.B. Zugang zu VR-Shops, Avatare, ganze VR-Welten, komplett neue Szenen, neue VR-Haustiere, etc.) werden erst nach und nach hinzukommen, u.a. durch Drittanbieter oder (Medien-)Partner.
- Je größer connect wird, umso "sicherer" fühlen sich Menschen darin, es anderen zu zeigen. Keiner will riskieren, etwas toll zu finden, was unbekannt ist und damit so wirkt, als würde es kaum jemandem gefallen (außer es ist offensichtlich ein Geheimtipp und noch ganz neu). 
- Viele Themen in connect - z.B. VR - sind Trends, die in den nächsten Monaten ansteigen werden.</t>
        </r>
      </text>
    </comment>
    <comment ref="A10" authorId="1">
      <text>
        <r>
          <rPr>
            <b/>
            <sz val="9"/>
            <color indexed="81"/>
            <rFont val="Tahoma"/>
            <family val="2"/>
          </rPr>
          <t xml:space="preserve">e.com
- </t>
        </r>
        <r>
          <rPr>
            <sz val="9"/>
            <color indexed="81"/>
            <rFont val="Tahoma"/>
            <family val="2"/>
          </rPr>
          <t xml:space="preserve">Von connect aus lassen sich bereits jetzt SMS und Faceboo-Nachrichten lesen und schreiben, Mails sind fast abgeschlossen, viele weitere, andere Netzwerke werden in rascher Abfolge (ca. ein Netzwerk pro Monat zu rund 10.000 Euro kosten) folgen. 
- Immer, wenn unsere User den Multimessenger verwenden, um Nachrichten zu schreiben oder Fotos, Videos, Sprachaufzeichnungen, eigenen connect-Sticker, connect-Emoties oder ähnliches in andere Netzwerke zu schicken, wird bei der ersten Nachricht der Anhang "send by connect" andere Menschen auf unser Netzwerk aufmerksam machen. 
- Unser User werden aber auch die geposteten Fotos ihrer Freunde an den Wänden ihres virtuellen Zuhause angezeigt bekommen, die Videos in einem eigenen "Freunde-Video-Kanal" am virtuellen Fernseher und ähnliches. Umgekehrt genauso - die Inhalte aus connect kann man allesamt in andere Netzwerke teilen, z.B. die Links zu Medieninhalten, Screenshots oder Videos (auch in 360 Grad), exklusive Inhalte (wie Haustiere, Spiele, Deko, alternative Szenen etc.). 
- Somit werden connect-fremde Menschen auf unser Netzwerk aufmerksam gemacht, ohne das dies Kosten verursachen würde. 
- Wir rechnen daher selbst bei vorsichtigster Schätzung, dass pro aktivem User im Laufe eines Jahres ein weiterer dazu kommt. Mit etwas "Glück" (richtiges Thema zum richtigen Zeitpunkt, etc.) könnte jeder User sogar hunderte Freunde auf connect aufmerksam machen, indem er ganz einfach connect-Inhalte (wie z.B. 360-Grad-Videos) z.B. auf Facebook teilt. 
- Punkt 1.6 beschreibt, dass wir dieses für uns nützliche Verhalten gezielt fördern und belohnen werden (z.B. durch Wettbewerbe), um diesen kostenlosen Zugang maximal auszunutzen. Wie schnell ein Thema viral werden kann und um die ganze Welt geht, haben genügend andere bewiesen - unser Ziel ist es, diese Mechanismen so gut wie möglich zu kopieren und automatisieren. 
- Der Multimessenger ist hierbei so nützlich, dass fast jeder User ihn immer wieder verwenden wird, selbst, wenn er ansonsten sich mit Postings etc. eher zurückhält. </t>
        </r>
      </text>
    </comment>
    <comment ref="B10" authorId="0">
      <text>
        <r>
          <rPr>
            <b/>
            <sz val="9"/>
            <color indexed="81"/>
            <rFont val="Tahoma"/>
            <family val="2"/>
          </rPr>
          <t>Michael Schöggl:</t>
        </r>
        <r>
          <rPr>
            <sz val="9"/>
            <color indexed="81"/>
            <rFont val="Tahoma"/>
            <family val="2"/>
          </rPr>
          <t xml:space="preserve">
</t>
        </r>
        <r>
          <rPr>
            <b/>
            <sz val="9"/>
            <color indexed="81"/>
            <rFont val="Tahoma"/>
            <family val="2"/>
          </rPr>
          <t>Um wieviel Prozent pro Monat steigt die Anzahl unserer User durch unseren Multimessenger-Anhang "sent by connect"?</t>
        </r>
        <r>
          <rPr>
            <sz val="9"/>
            <color indexed="81"/>
            <rFont val="Tahoma"/>
            <family val="2"/>
          </rPr>
          <t xml:space="preserve">
</t>
        </r>
        <r>
          <rPr>
            <u/>
            <sz val="9"/>
            <color indexed="81"/>
            <rFont val="Tahoma"/>
            <family val="2"/>
          </rPr>
          <t>Begründung für diesen Wert:</t>
        </r>
        <r>
          <rPr>
            <sz val="9"/>
            <color indexed="81"/>
            <rFont val="Tahoma"/>
            <family val="2"/>
          </rPr>
          <t xml:space="preserve">
- Dieser Zugang bezieht sich nicht nur auf den Text-Anhang "sent by connect" sondern ganz speziell auch darauf, dass unsere User z.B. connect-Inhalte wie dessen Sticker, Screenshots, Medien-Inhalte etc. in andere Netzwerke wie z.B. Facebook schicken können. Je "verknüpfter" connect ist, umso mehr Aufsehen wird jeder User automatisch in anderen Netzwerken durch die Verwendung erregen.
- Ein Wert von 8,4 % würde bedeuten, dass ein durchschnittlicher connect-User einen weiteren User pro Jahr anlockt, weil er hunderte Nicht-connect-Kontakte monatlich anschreibt (z.B. per Mail, SMS oder FB-Nachricht) und dabei einer neugierig genug wird, um connect selbst auszuprobieren (z.B. aufgrund der Info des connect-Users, dass er mit diesem Multi-Messenger Nachrichten in verschiedene Netzwerke schicken kann oder aufgrund der tollen Sticker, Screenshots (z.B. vom virtuellen Haustier) oder ähnliches).
- Die beste Werbung ist und bleibt persönliche Empfehlung und diese stoßen wir dadurch an, dass der Empfänger einer "sent by connect" Nachricht - vor allem, wenn er von verschiedenen Freunden über verschiedene Netzwerke solche Nachrichten bekommt - irgendwann nachfragen wird, worum es sich hierbei handelt. Und der Sender wird dann - um seinen Selbstwert zu wahren und seine Entscheidung zu rechtfertigen - auch connect positiv beschreiben und z.B. auf den Mehrwert des Multi-Messengers hinweisen. "Was du kennst connect nicht? Lebst du hinterm Mond?"</t>
        </r>
      </text>
    </comment>
    <comment ref="C10"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Prozent pro Quartal sinkt/steigt die monatliche Wachstumsrate von connect durch den Multi-Messenger-Anhang "sent by connect" oder die verschickten Inhalte?</t>
        </r>
        <r>
          <rPr>
            <sz val="9"/>
            <color indexed="81"/>
            <rFont val="Tahoma"/>
            <family val="2"/>
          </rPr>
          <t xml:space="preserve">
</t>
        </r>
        <r>
          <rPr>
            <u/>
            <sz val="9"/>
            <color indexed="81"/>
            <rFont val="Tahoma"/>
            <family val="2"/>
          </rPr>
          <t>Begründung für diesen Wert:</t>
        </r>
        <r>
          <rPr>
            <sz val="9"/>
            <color indexed="81"/>
            <rFont val="Tahoma"/>
            <family val="2"/>
          </rPr>
          <t xml:space="preserve">
- Wenn ein User regelmäßig durch die Nachrichten seiner Freunde auf connect aufmerksam gemacht wird, dann kennt er diesen Anhang bereits und somit auch connect. Je später dieser Werbezugang kommt, umso wahrscheinlicher hat der Empfänger bereits Bekanntschaft gemacht und einfach kein Interesse an connect - weshalb dieser Wert negativ ist, der Werbeeffekt also nachlässt. 
- Gegenzurechnen ist, dass unser Multi-Messenger immer mehr andere Netzwerke integrieren wird und damit auch Menschen aus neuen Netzwerken erreicht. Außerdem werden unsere User immer mehr Inhalte über den Multi-Messenger in andere Netzwerke schicken können. Trotzdem: Vorsichtig gedacht wird der Effekt eher rückläufig sein, als anzuwachsen. </t>
        </r>
      </text>
    </comment>
    <comment ref="A11" authorId="1">
      <text>
        <r>
          <rPr>
            <b/>
            <sz val="9"/>
            <color indexed="81"/>
            <rFont val="Tahoma"/>
            <family val="2"/>
          </rPr>
          <t xml:space="preserve">e.com:
</t>
        </r>
        <r>
          <rPr>
            <sz val="9"/>
            <color indexed="81"/>
            <rFont val="Tahoma"/>
            <family val="2"/>
          </rPr>
          <t xml:space="preserve">
- Das Bedürfnis vieler Menschen etwas besonderes zu besitzen oder (virtuelle) Erfolge (z.B. in Spielen) zu erzielen, bzw. ihren Status durch limitierte Besitztümer zu erhöhen, ist - wie Vergleiche mit der ganzen Spielebranche zeigen - gewaltig. 
- Auch innerhalb der connect-User wird es einen großen Anteil jener Nutzer geben, die sich durch limitierte Belohnungen mit Prestige-Wert (z.B. Pokale mit Namensgravur, extrem seltene virtuelle Haustiere, die sich verkaufen, züchten oder tauschen lassen, alternative virtuelle Wohnräume wie das Oval Office oder besondere Deko-Objekte, etc.) dazu motivieren lassen werden, im Zuge eines Wettbewerbs, einer "täglichen Quest", eines "Erfolges", etc. Verhalten zu zeigen, das uns bekannter macht. 
- Bei einem Wettbewerb könnten z.B. die besten 360-Grad-Videos aus dem virtuellen Zuhause (meiste Likes auf FB), die ausgefallenste Individualisierung (z.B. mit eigenen Fotos als Textur, wodurch man z.B. den Boden mit den Gesichtern der Freunde zupflastern kann) oder sogar selbst erstellte neue und öffentlich geteilte Inhalte wie Schriftarten, Klingeltöne, künstlerische Bilder für die virtuelle Wand, Haustier-Fell-Skins oder ähnliches mit Titeln, virtuellen Belohnungen oder "Adjektiven" honoriert werden. 
- Wir bauen dadurch eine Online-Community auf, die auf connect aufmerksam macht, z.B. ganz direkt durch tausende YouTube-Videos. Kürzlich hat ein indonesischer Sänger bei einem Wettbewerb für die 3 besten Cover-Songs innerhalb einer Woche einen Gewinn von 7000 Euro versprochen - und nur wenige Tage später gab es mehrere tausend Covers von ihm. Unsere Belohnungen werden durch die Rarität für manche User einen enormen Wert haben, ohne für uns relevante Kosten dazustellen. </t>
        </r>
      </text>
    </comment>
    <comment ref="A12" authorId="1">
      <text>
        <r>
          <rPr>
            <b/>
            <sz val="9"/>
            <color indexed="81"/>
            <rFont val="Tahoma"/>
            <family val="2"/>
          </rPr>
          <t xml:space="preserve">e.com:
</t>
        </r>
        <r>
          <rPr>
            <sz val="9"/>
            <color indexed="81"/>
            <rFont val="Tahoma"/>
            <family val="2"/>
          </rPr>
          <t xml:space="preserve">
- Wir werden ganz direkt das Teilen unserer Werbevideos auf Facebook und Co, sowie das Werben von Freunden mit stark limitierten virtuellen Besitztümern belohnen. 
- Diese sind nur eine bestimmte Zeit lang verfügbar (z.B. einen Monat), danach gibt es eine neue Belohnung, um denselben User zu motivieren, einen weiteren Freund anzuwerben. 
- Diese Belohnungen sind tauschbar, verkaufbar und könnten auch "sammelbare" Sets bilden (z.B. das Haustier "Eulenbaby" in den verschiedensten Farben/Fellen, damit der Aufwand für uns minimal ist). 
- Jede zu offensichtliche oder offensive Werbung kann sich auch negativ auf das Image auswirken, daher ist dieser Zugang nur eine weitere Möglichkeit, wenn die anderen Wege nicht erfolgreich genug sein sollten. </t>
        </r>
      </text>
    </comment>
    <comment ref="A13" authorId="1">
      <text>
        <r>
          <rPr>
            <b/>
            <sz val="9"/>
            <color indexed="81"/>
            <rFont val="Tahoma"/>
            <family val="2"/>
          </rPr>
          <t xml:space="preserve">e.com:
</t>
        </r>
        <r>
          <rPr>
            <sz val="9"/>
            <color indexed="81"/>
            <rFont val="Tahoma"/>
            <family val="2"/>
          </rPr>
          <t xml:space="preserve">
- Wir haben ganz bewusst viele Inhalte in connect geschaffen, die dafür sorgen, dass unsere User in der Öffentlichkeit auffallen werden.
- U.a. sind das realistische Klingeltöne (Münze fällt, Dose öffnen, Schluckauf, Gelsensurren, etc.), die z.B. auf öffentlichen Plätzen oder in den öffentlichen Verkehrsmitteln Aufmerksamkeit erregen. 
- Auch praktisch fertiggestellt ist ein versteckter, virtueller Tresor, der sich durch das Drehen des Smartphones (= Drehen des Drehknaufs) nach vielen Stunden knacken lässt. Manche unserer User werden öffentlich auffallen, gefragt werden und dann (stolz) connect präsentieren. 
- Dieser Zugang kostet uns ebenso wie die bisherigen nur Entwicklungsaufwand und kann mit der Userbasis gewaltig skalieren und schnell für mehr Sichtbarkeit sorgen.
- Es gibt noch rund 5 weitere Tricks, die nun nicht alle aufgezählt werden sollen. 
- Wir wollen es so schwer wie möglich machen, connect zu nutzen, ohne dass regelmäßig andere Menschen darauf aufmerksam werden.
- Fast alle dieser Tricks und Zugänge sowie der Belohnungen sind bereits fertig oder kurz vor Fertigstellung, ihr Effekt wird uns aber kontinuierlich neue User ohne weitere Kosten bringen.</t>
        </r>
      </text>
    </comment>
    <comment ref="A14" authorId="0">
      <text>
        <r>
          <rPr>
            <b/>
            <sz val="9"/>
            <color indexed="81"/>
            <rFont val="Tahoma"/>
            <family val="2"/>
          </rPr>
          <t xml:space="preserve">Michael Schöggl:
</t>
        </r>
        <r>
          <rPr>
            <sz val="9"/>
            <color indexed="81"/>
            <rFont val="Tahoma"/>
            <family val="2"/>
          </rPr>
          <t xml:space="preserve">
</t>
        </r>
        <r>
          <rPr>
            <b/>
            <sz val="9"/>
            <color indexed="81"/>
            <rFont val="Tahoma"/>
            <family val="2"/>
          </rPr>
          <t>Für eine realistische Einschätzung der Userzahlen-Entwicklung müssen wir von einer Sättigung der Zielgruppe ausgehen, bzw. von einer Zielgruppen-Obergrenze</t>
        </r>
        <r>
          <rPr>
            <sz val="9"/>
            <color indexed="81"/>
            <rFont val="Tahoma"/>
            <family val="2"/>
          </rPr>
          <t xml:space="preserve">. 
</t>
        </r>
        <r>
          <rPr>
            <b/>
            <sz val="9"/>
            <color indexed="81"/>
            <rFont val="Tahoma"/>
            <family val="2"/>
          </rPr>
          <t>Wir verwenden 2 Werte:</t>
        </r>
        <r>
          <rPr>
            <sz val="9"/>
            <color indexed="81"/>
            <rFont val="Tahoma"/>
            <family val="2"/>
          </rPr>
          <t xml:space="preserve">
- </t>
        </r>
        <r>
          <rPr>
            <u/>
            <sz val="9"/>
            <color indexed="81"/>
            <rFont val="Tahoma"/>
            <family val="2"/>
          </rPr>
          <t>maximale Zielgruppe bis Ende 2020</t>
        </r>
        <r>
          <rPr>
            <sz val="9"/>
            <color indexed="81"/>
            <rFont val="Tahoma"/>
            <family val="2"/>
          </rPr>
          <t xml:space="preserve">: Primär VR-User (und Gamer für die 3D-Nutzung), weil sich unser Marketing auf diese Zielgruppe konzentriert; natürlich können wir aber auch darüber hinaus Menschen ansprechen.
- </t>
        </r>
        <r>
          <rPr>
            <u/>
            <sz val="9"/>
            <color indexed="81"/>
            <rFont val="Tahoma"/>
            <family val="2"/>
          </rPr>
          <t>maximale Zielgruppe ab 2021</t>
        </r>
        <r>
          <rPr>
            <sz val="9"/>
            <color indexed="81"/>
            <rFont val="Tahoma"/>
            <family val="2"/>
          </rPr>
          <t xml:space="preserve">: Alle Social Media bzw. Network und Messenger Nutzer, jedoch nur jene, für die connect - auch OHNE den virtuellen Raum - einen ausreichend großen Mehrwert bietet (Multi-Messenger, Datenschutz, Multimedia, Geräteunabhängigkeit, etc.), schließlich haben wir Konkurrenz und unser Produkt wird selbst dann, wenn wir alles individualisierbar machen und verschiedene Versionen rausbringen, niemals alle Menschen ansprechen können
</t>
        </r>
        <r>
          <rPr>
            <b/>
            <sz val="9"/>
            <color indexed="81"/>
            <rFont val="Tahoma"/>
            <family val="2"/>
          </rPr>
          <t>Erklärung zu den Auswirkungen dieser Werte:</t>
        </r>
        <r>
          <rPr>
            <sz val="9"/>
            <color indexed="81"/>
            <rFont val="Tahoma"/>
            <family val="2"/>
          </rPr>
          <t xml:space="preserve">
- Die Berechnung erfolgt so, dass je stärker sich unsere Userzahlen diesen Grenzwerten nähern, die Akquise neuer User umso unwahrscheinlicher wird.
- Bei 0 Usern und einer Grenze von 300, ist die Akquise-Rate bei 100%. 
- Bei 200 Usern und einer Grenze von 300, ist sie nur noch bei 0,33%.
- Alle Wachstumswerte (bis auf die negativen Absprünge, siehe 1.11) sind von diesem Multiplikator betroffen und sinken entsprechend der Annäherung zur Zielgruppen-Obergrenze immer stärker Richtung 0.</t>
        </r>
      </text>
    </comment>
    <comment ref="B14" authorId="0">
      <text>
        <r>
          <rPr>
            <b/>
            <sz val="9"/>
            <color indexed="81"/>
            <rFont val="Tahoma"/>
            <family val="2"/>
          </rPr>
          <t xml:space="preserve">Michael Schöggl:
Wie groß ist unsere </t>
        </r>
        <r>
          <rPr>
            <b/>
            <i/>
            <sz val="9"/>
            <color indexed="81"/>
            <rFont val="Tahoma"/>
            <family val="2"/>
          </rPr>
          <t>primäre</t>
        </r>
        <r>
          <rPr>
            <b/>
            <sz val="9"/>
            <color indexed="81"/>
            <rFont val="Tahoma"/>
            <family val="2"/>
          </rPr>
          <t xml:space="preserve"> Zielgruppe, die wir bis Ende 2020 erreichen können? - </t>
        </r>
        <r>
          <rPr>
            <b/>
            <u/>
            <sz val="9"/>
            <color indexed="81"/>
            <rFont val="Tahoma"/>
            <family val="2"/>
          </rPr>
          <t>Bezogen auf Viral-Marketing-Zugänge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Zu Beginn Fokus auf VR-User, weil wir diesen den größten Mehrwert bieten und Gamer eine sehr dankbare, zahlkräftige Zielgruppe sind. 2019 sind das mindestens 10 Millionen User weltweit, die wir über unsere aktuell unterstützten Geräte (Android, HTC Vive, Oculus) und Plattformen (Play Store und Steam) erreichen können.
- Bis Mitte 2020: Fertigstellung der "connect Basic"-Version, d.h. einer nativen Android und iOS Version von connect, die dieselben Funktionen umfasst, aber in einem simplen 2D-Design (vlg. WhatsApp und Co). Diese Version unterstützt dann wirklich alle Smartphones und läuft genauso schnell, wie WhatsApp und Co, mit Fokus auf Multi-Messenger, Multimedia und Verschlüsselung zielt sie auf den konservativeren, weniger verspielten Massenmarkt ab, bis VR sich endgültig durchgesetzt hat.
- Bis Mitte 2020: Fertigstellung der PlayStation-Version und der iOS-Version.
- Bis Ende 2020: Fertigstellung des Multi-Messengers für alle Geräte (inklusive PlayStation und iOS) und alle größeren Netzwerke (u.a. zusätzlich WhatsApp, WeChat, Snapchat, Skype, Twitter, Instagram etc.). 
- Ab 2021 Fokus auf neue Zielgruppe: alle Social Network / Messenger-User weltweit; bis dahin haben wir genug Funktionen (z.B. Multi-Messenger) und Inhalte (z.B. Medien-Inhalte der Partner) um auch den Massenmarkt anzusprechen. Unsere bisherigen VR-/3D-User werden als treue Fans zu Mundpropaganda motiviert (siehe 1.7 bis 1.9).
</t>
        </r>
      </text>
    </comment>
    <comment ref="C14" authorId="0">
      <text>
        <r>
          <rPr>
            <b/>
            <sz val="9"/>
            <color indexed="81"/>
            <rFont val="Tahoma"/>
            <family val="2"/>
          </rPr>
          <t>Michael Schöggl:</t>
        </r>
        <r>
          <rPr>
            <sz val="9"/>
            <color indexed="81"/>
            <rFont val="Tahoma"/>
            <family val="2"/>
          </rPr>
          <t xml:space="preserve">
</t>
        </r>
        <r>
          <rPr>
            <b/>
            <sz val="9"/>
            <color indexed="81"/>
            <rFont val="Tahoma"/>
            <family val="2"/>
          </rPr>
          <t xml:space="preserve">
Wie groß ist unsere </t>
        </r>
        <r>
          <rPr>
            <b/>
            <i/>
            <sz val="9"/>
            <color indexed="81"/>
            <rFont val="Tahoma"/>
            <family val="2"/>
          </rPr>
          <t>primäre</t>
        </r>
        <r>
          <rPr>
            <b/>
            <sz val="9"/>
            <color indexed="81"/>
            <rFont val="Tahoma"/>
            <family val="2"/>
          </rPr>
          <t xml:space="preserve"> Zielgruppe (Multi-Messenger, Social Network, Multimedia), die wir ab 2020 erreichen können? - </t>
        </r>
        <r>
          <rPr>
            <b/>
            <u/>
            <sz val="9"/>
            <color indexed="81"/>
            <rFont val="Tahoma"/>
            <family val="2"/>
          </rPr>
          <t>Bezogen auf Viral-Marketing-Zugänge</t>
        </r>
        <r>
          <rPr>
            <b/>
            <sz val="9"/>
            <color indexed="81"/>
            <rFont val="Tahoma"/>
            <family val="2"/>
          </rPr>
          <t xml:space="preserve">
</t>
        </r>
        <r>
          <rPr>
            <u/>
            <sz val="9"/>
            <color indexed="81"/>
            <rFont val="Tahoma"/>
            <family val="2"/>
          </rPr>
          <t>Begründung für diesen Wert</t>
        </r>
        <r>
          <rPr>
            <sz val="9"/>
            <color indexed="81"/>
            <rFont val="Tahoma"/>
            <family val="2"/>
          </rPr>
          <t>: 
- Siehe Kommentar zur Spalte links: Ab 2021 umfasst connect genügend Inhalte, Medien, Funktionen und Geräte-Unterstützungen, sowie eine simple connect Basic Version ohne 3D/VR, um praktisch alle Social Network / Media bzw. Messenger User weltweit anzusprechen.
- Viele User verwenden mehrere Social Networks oder Messenger parallel zueinander, zudem bietet gerade connect mit dem Multi-Messenger den Vorteil, aus einer App heraus alle anderen Netzwerke verwenden/verwalten zu können. Darum gehen wir von einem weltweiten Markt von mindestens 300 Mio Menschen aus, unanhängig davon, wie erfolgreich oder aktiv die Konkurrenz wie z.B. Facebook ist. 
- Gewissermaßen profitieren wir aufgrund unseres Multi-Messengers sogar von mehr Wettbewerbern bzw. dem Erfolg anderer Messenger und Netzwerke - weil dadurch der Wert von unserer Verschlüsselung / Datenschutz und von unserem Multi-Messenger steigt, schließlich nimmt er "Arbeit" ab, all diese Netzwerke (mit unterschiedlichen Apps und unterschiedlichen Geräteabhängigkeiten) zu betreuen.</t>
        </r>
      </text>
    </comment>
    <comment ref="J14" authorId="0">
      <text>
        <r>
          <rPr>
            <b/>
            <sz val="9"/>
            <color indexed="81"/>
            <rFont val="Tahoma"/>
            <family val="2"/>
          </rPr>
          <t>Michael Schöggl:</t>
        </r>
        <r>
          <rPr>
            <sz val="9"/>
            <color indexed="81"/>
            <rFont val="Tahoma"/>
            <family val="2"/>
          </rPr>
          <t xml:space="preserve">
</t>
        </r>
        <r>
          <rPr>
            <b/>
            <sz val="9"/>
            <color indexed="81"/>
            <rFont val="Tahoma"/>
            <family val="2"/>
          </rPr>
          <t>Summe der monatlichen Steigerungsraten für das gesamte Jahr.</t>
        </r>
        <r>
          <rPr>
            <sz val="9"/>
            <color indexed="81"/>
            <rFont val="Tahoma"/>
            <family val="2"/>
          </rPr>
          <t xml:space="preserve"> 
- Die Werte links davon sind pro Monat und nicht pro Quartal, das hier ist also nicht die Summe der Werte links, sondern das Jahresergebnis.
- Diese Werte sind mit Vorsicht zu genießen, die eigentliche Steigerungsrate pro Jahr ist eine andere, als die einfache Summe der monatlichen Steigerungen.</t>
        </r>
      </text>
    </comment>
    <comment ref="A15" authorId="0">
      <text>
        <r>
          <rPr>
            <b/>
            <sz val="9"/>
            <color indexed="81"/>
            <rFont val="Tahoma"/>
            <family val="2"/>
          </rPr>
          <t>Michael Schöggl:</t>
        </r>
        <r>
          <rPr>
            <sz val="9"/>
            <color indexed="81"/>
            <rFont val="Tahoma"/>
            <family val="2"/>
          </rPr>
          <t xml:space="preserve">
Prozentsatz aller bisherigen User, die innerhalb von diesem einen Monat connect für immer verlassen und daher dauerhaft verloren gehen.
</t>
        </r>
        <r>
          <rPr>
            <u/>
            <sz val="9"/>
            <color indexed="81"/>
            <rFont val="Tahoma"/>
            <family val="2"/>
          </rPr>
          <t>Achtung</t>
        </r>
        <r>
          <rPr>
            <sz val="9"/>
            <color indexed="81"/>
            <rFont val="Tahoma"/>
            <family val="2"/>
          </rPr>
          <t>: Diesen Wert nicht zu hoch einschätzen, weil er sich auf jeden einzelnen Monat bezieht und sich schnell kummuliert. Bei einem Wert von 0,1 würden im Laufe eines Jahres z.B. 72% aller User wieder verloren sein (0,9 hoch 12).</t>
        </r>
      </text>
    </comment>
    <comment ref="B15" authorId="0">
      <text>
        <r>
          <rPr>
            <b/>
            <sz val="9"/>
            <color indexed="81"/>
            <rFont val="Tahoma"/>
            <family val="2"/>
          </rPr>
          <t>Michael Schöggl:</t>
        </r>
        <r>
          <rPr>
            <sz val="9"/>
            <color indexed="81"/>
            <rFont val="Tahoma"/>
            <family val="2"/>
          </rPr>
          <t xml:space="preserve">
</t>
        </r>
        <r>
          <rPr>
            <b/>
            <sz val="9"/>
            <color indexed="81"/>
            <rFont val="Tahoma"/>
            <family val="2"/>
          </rPr>
          <t xml:space="preserve">Wieviel Prozent aller bisherigen User verlassen uns pro Monat? </t>
        </r>
        <r>
          <rPr>
            <sz val="9"/>
            <color indexed="81"/>
            <rFont val="Tahoma"/>
            <family val="2"/>
          </rPr>
          <t xml:space="preserve">
</t>
        </r>
        <r>
          <rPr>
            <u/>
            <sz val="9"/>
            <color indexed="81"/>
            <rFont val="Tahoma"/>
            <family val="2"/>
          </rPr>
          <t>Begründung für diesen Wert</t>
        </r>
        <r>
          <rPr>
            <sz val="9"/>
            <color indexed="81"/>
            <rFont val="Tahoma"/>
            <family val="2"/>
          </rPr>
          <t>: 
- Dieser Wert ist von unglaublicher Bedeutung für unseren Erfolg. Wir tun vieles, um ihn so rasch wie möglich maximal zu senken (u.a. durch Individualisierung, Investments, Aufarbeitung von User-Wünschen, ständig neuen Inhalten von Partner bzw. Medien, spielerische, unterhaltsame Zugänge wie virtuelle Haustiere, etc.). 
- Bis Mitte 2020 wird der Wert sehr hoch sein, weil viele versprochene Funktionen noch nicht fertig sind und die Usability aufgrund offener Baustellen noch zu schlecht. Ab Q3 2020 gilt dann der hier eingetragene Wert.
- Solange dieser Wert niedriger ist (wird), als Summe A und B zusammen, wächst connect.</t>
        </r>
      </text>
    </comment>
    <comment ref="C15"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sinkt/steigt der prozentuale Wert, mit dem jeden Monat bisherige User connect für immer verlassen?</t>
        </r>
        <r>
          <rPr>
            <sz val="9"/>
            <color indexed="81"/>
            <rFont val="Tahoma"/>
            <family val="2"/>
          </rPr>
          <t xml:space="preserve">
</t>
        </r>
        <r>
          <rPr>
            <u/>
            <sz val="9"/>
            <color indexed="81"/>
            <rFont val="Tahoma"/>
            <family val="2"/>
          </rPr>
          <t>Begründung für diesen Wert</t>
        </r>
        <r>
          <rPr>
            <sz val="9"/>
            <color indexed="81"/>
            <rFont val="Tahoma"/>
            <family val="2"/>
          </rPr>
          <t>:
- Umso userfreundlicher connect (durch die Einarbeitung von Feedback) wird, umso weniger User werden uns verlassen.
- Umso mehr Zeit und Energie unsere User in ihr virtuelles Zuhause investiert haben, umso weniger sind sie bereit, diese wieder aufzugeben. 
- Wir fokussieren uns darauf, dem User solche Investitionen abzuverlangen, damit er wie in einer alten Ehe connect die Treue hält. Beispiele: Individualisierung, exklusiv Inhalte wie z.B. Quest- bzw. Erfolgs-Belohnungen, Einkäufe, Wettbewerbs-Preise, Tresor-Inhalte, Tausch-Ergebnisse, connect-eigener Freundeskreis, Chat-Verläufe, gesammelte Kontakte, erstellte Favoriten-Listen bei Multimedia-Anbietern, (selbst gezüchtete und trainierte) seltene, virtuelle Haustiere, Einstellungen, etc.
- connect wird laufend weiterentwickelt und wir haben hunderte coole Ideen für Funktionen bzw. Inhalte, die unsere User nicht missen werden wollen.
- Unser Datenschutz-Image und der Aufbau von Vertrauen werden User abhalten, zur Konkurrenz zu wechseln bzw. connect als DIE Kommunikations- und Medien-Plattform ihrer Wahl zu verlassen.</t>
        </r>
      </text>
    </comment>
    <comment ref="J15" authorId="0">
      <text>
        <r>
          <rPr>
            <b/>
            <sz val="9"/>
            <color indexed="81"/>
            <rFont val="Tahoma"/>
            <family val="2"/>
          </rPr>
          <t>Michael Schöggl:</t>
        </r>
        <r>
          <rPr>
            <sz val="9"/>
            <color indexed="81"/>
            <rFont val="Tahoma"/>
            <family val="2"/>
          </rPr>
          <t xml:space="preserve">
</t>
        </r>
        <r>
          <rPr>
            <b/>
            <sz val="9"/>
            <color indexed="81"/>
            <rFont val="Tahoma"/>
            <family val="2"/>
          </rPr>
          <t xml:space="preserve">Summe der monatlichen Reduktionsraten für das gesamte Jahr. </t>
        </r>
        <r>
          <rPr>
            <sz val="9"/>
            <color indexed="81"/>
            <rFont val="Tahoma"/>
            <family val="2"/>
          </rPr>
          <t xml:space="preserve">
- Die Werte links davon sind pro Monat und nicht pro Quartal, das hier ist also nicht die Summe der Werte links, sondern das Jahresergebnis.
- Diese Werte sind mit Vorsicht zu genießen, die eigentliche Reduktionsrate pro Jahr ist eine andere, als die einfache Summe der monatlichen Reduktionen.</t>
        </r>
      </text>
    </comment>
    <comment ref="V15" authorId="0">
      <text>
        <r>
          <rPr>
            <b/>
            <sz val="9"/>
            <color indexed="81"/>
            <rFont val="Tahoma"/>
            <family val="2"/>
          </rPr>
          <t>Michael Schöggl:</t>
        </r>
        <r>
          <rPr>
            <sz val="9"/>
            <color indexed="81"/>
            <rFont val="Tahoma"/>
            <family val="2"/>
          </rPr>
          <t xml:space="preserve">
- 2% pro Monat (Q4 2022) entspricht 24% pro Jahr. Für 2021 und die darauffolgenden Jahre rechnen wir mit 20% Abwanderung pro Jahr. 
- connect bietet sehr viel, um User dauerhaft zu binden, z.B. durch Datenschutz, Multimessenger (einmal eingerichtet will man nicht mehr darauf verzichten) und jedes Investment, das unsere User tätigen (Einkäufe, Belohnungen, Chat-Verkauf, etc.).
- Um vorsichtig zu schätzen, wollen wir aber auch dauerhaft mit 20% jährlicher Abwanderung rechnen, da es unrealistisch ist, alle User halten zu können.</t>
        </r>
      </text>
    </comment>
    <comment ref="Z15" authorId="0">
      <text>
        <r>
          <rPr>
            <b/>
            <sz val="9"/>
            <color indexed="81"/>
            <rFont val="Tahoma"/>
            <family val="2"/>
          </rPr>
          <t xml:space="preserve">Michael Schöggl:
</t>
        </r>
        <r>
          <rPr>
            <sz val="9"/>
            <color indexed="81"/>
            <rFont val="Tahoma"/>
            <family val="2"/>
          </rPr>
          <t xml:space="preserve">
Wegen der frühen Testversion, bei der noch fast nichts geht und vieles buggt, ist die Absprungrate pro Monat sehr hoch. Der Wert sagt aber nichts über die fertige Version aus, denn eines haben ALLE Menschen gemeinsam: sie wollen keine Software nutzen, die noch nicht funktioniert, die kaum was bringt und die viele Probleme hat. </t>
        </r>
      </text>
    </comment>
    <comment ref="A16" authorId="0">
      <text>
        <r>
          <rPr>
            <b/>
            <sz val="9"/>
            <color indexed="81"/>
            <rFont val="Tahoma"/>
            <family val="2"/>
          </rPr>
          <t>Michael Schöggl:</t>
        </r>
        <r>
          <rPr>
            <sz val="9"/>
            <color indexed="81"/>
            <rFont val="Tahoma"/>
            <family val="2"/>
          </rPr>
          <t xml:space="preserve">
- Diese Wachstumsrate wird absolut berechnet, d.h. das Endergebnis Quartal 2 minus Endergebnis Quartal 1. 
- Die Wachstumsrate umfasst die Summe A, B und die User, die pro Monat connect wieder verlassen.</t>
        </r>
      </text>
    </comment>
    <comment ref="J16" authorId="0">
      <text>
        <r>
          <rPr>
            <b/>
            <sz val="9"/>
            <color indexed="81"/>
            <rFont val="Tahoma"/>
            <family val="2"/>
          </rPr>
          <t>Michael Schöggl:</t>
        </r>
        <r>
          <rPr>
            <sz val="9"/>
            <color indexed="81"/>
            <rFont val="Tahoma"/>
            <family val="2"/>
          </rPr>
          <t xml:space="preserve">
</t>
        </r>
        <r>
          <rPr>
            <b/>
            <sz val="9"/>
            <color indexed="81"/>
            <rFont val="Tahoma"/>
            <family val="2"/>
          </rPr>
          <t>Wachstumsrate insgesamt im Vergleich zum Vorjahr</t>
        </r>
        <r>
          <rPr>
            <sz val="9"/>
            <color indexed="81"/>
            <rFont val="Tahoma"/>
            <family val="2"/>
          </rPr>
          <t xml:space="preserve">
- Dieser Wert ist im Gegensatz zu den Summenwerten darüber aussagekräftiger. 
- Die Summenwerte (oben) ignorieren, dass beim Zusammenzählen einzelner prozentualer Steigerungen das Ausmaß der gesamten Steigerung bis zum ersten Wert verloren geht und unterschätzt wird, weil immer nur kleinere Änderungen gemessen werden. Dadurch sind die Summenwerte oben deutlich kleiner, als die absolute Steigerungsrate von Jahr 1 zu Jahr 2.  
- Da connect erst mit Jahresende 2018 als Testversion veröffentlicht wurde und kaum User hat, macht die Berechnung dieser jährlichen Wachstumsrate für 2020 im Vergleich zu 2019 wenig Sinn.</t>
        </r>
      </text>
    </comment>
    <comment ref="A17"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 ref="J17" authorId="0">
      <text>
        <r>
          <rPr>
            <b/>
            <sz val="9"/>
            <color indexed="81"/>
            <rFont val="Tahoma"/>
            <family val="2"/>
          </rPr>
          <t xml:space="preserve">Michael Schöggl:
</t>
        </r>
        <r>
          <rPr>
            <sz val="9"/>
            <color indexed="81"/>
            <rFont val="Tahoma"/>
            <family val="2"/>
          </rPr>
          <t xml:space="preserve">
Summe aller neuen User in diesem Jahr abzüglich derjenigen, die inaktiv geworden sind.</t>
        </r>
      </text>
    </comment>
    <comment ref="A18"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 ref="J18" authorId="0">
      <text>
        <r>
          <rPr>
            <b/>
            <sz val="9"/>
            <color indexed="81"/>
            <rFont val="Tahoma"/>
            <family val="2"/>
          </rPr>
          <t xml:space="preserve">Michael Schöggl:
</t>
        </r>
        <r>
          <rPr>
            <sz val="9"/>
            <color indexed="81"/>
            <rFont val="Tahoma"/>
            <family val="2"/>
          </rPr>
          <t xml:space="preserve">
Absolute Anzahl aller aktiven User am Ende des Jahres. 
</t>
        </r>
      </text>
    </comment>
    <comment ref="A20" authorId="0">
      <text>
        <r>
          <rPr>
            <b/>
            <sz val="9"/>
            <color indexed="81"/>
            <rFont val="Tahoma"/>
            <family val="2"/>
          </rPr>
          <t>Michael Schöggl:</t>
        </r>
        <r>
          <rPr>
            <sz val="9"/>
            <color indexed="81"/>
            <rFont val="Tahoma"/>
            <family val="2"/>
          </rPr>
          <t xml:space="preserve">
- connect hat viele Geschäftsmodelle, wird seinen Fokus aber ganz klar auf B2C konzentrieren, um erste Einnahmen (ab dem 1. User) zu machen. 
- Wenn wir eine kritische Masse an Usern erreicht haben (ca. 20 bis 100k), werden langsam immer stärker auch B2B-Kunden auf uns aufmerksam.
- B2B wird deutlich höhere Einnahmen erbringen, als B2C.
- Wir konzentrieren uns von Anfang an auf die Akquise von B2B-Kunden, realistischerweise werden unsere Bemühungen aber erst erfolgreich sein, wenn wir mindestens 20.000 User haben. 
- Wir haben aktive Gespräche mit mehr als zwei Dutzend großer internationaler Unternehmen, die Interesse an einer Zusammenarbeit haben und noch ein wenig zögern, weil es noch etwas zu früh ist. U.a. Porsche, A1, Deutsche Telekom, Red Bull, Wirecard (Kooperation bereits zugesagt), Internorm, Canon, Antenne (Kooperation bereits zugesagt), Energie Steiermark, etc.
- Fast alle Unternehmen, mit denen wir bisher in Kontakt kamen, haben mit uns Gespräche geführt und Interesse gezeigt (wir hatten mehr als ein Dutzend Präsentationen). Uns fehlte bisher die Zeit und die Mittel (Mitarbeiter), um offensiver auf weitere Unternehmen zuzugehen.
- Auf Basis dieser Erfahrungen können wir mit hoher Sicherheit annehmen, dass es uns sehr rasch gelingen wird, Unternehmen als Kunden zu gewinnen, sobald unsere Software fertig ist und wir mindestens 20.000 User haben. Keines dieser Unternehmen will zu spät kommen, aber auch keines kann es sich leisten, bereits fixe Zusagen zu machen, solange unser Projekt noch keine/kaum Traktion bewiesen hat.</t>
        </r>
      </text>
    </comment>
    <comment ref="A21" authorId="1">
      <text>
        <r>
          <rPr>
            <b/>
            <sz val="9"/>
            <color indexed="81"/>
            <rFont val="Tahoma"/>
            <family val="2"/>
          </rPr>
          <t>e.com:</t>
        </r>
        <r>
          <rPr>
            <sz val="9"/>
            <color indexed="81"/>
            <rFont val="Tahoma"/>
            <family val="2"/>
          </rPr>
          <t xml:space="preserve">
- Siehe Quelle 06: Bei erfolgreichen Apps gibt der durchschnittliche User pro Jahr für In-App-Einkäufe ca. 76 € aus.
- connect ist kostenlos, aber User können Erweiterungen wie z.B. virtuelle Haustiere (Entchen, Krokodil fertig, Schildkröte, Küken etc. bald), Spiele, neue virtuelle Räume/Orte (z.B. Oval Office, fertig), Deko, Gimmicks (z.B. Wettergerät), virtuelle Geschenke (z.B. Rose, Flugzeug mit beschriftbaren Banner, etc.) kaufen. 
- Erfahrungen bei Spielen zeigen, dass diese Form der Monetarisierung in vielen Fällen höhere Einnahmen bringt, als ein monatliches Abo-System oder der Kaufpreis eines Spieles.
- In connect werden vor allem virtuelle, fotorealistische, alternative Szenen (z.B. Oval Office), dekorative, stark limitierte Erweiterungen und virtuelle Haustiere für hohe Einnahmen sorgen. Der User kauft z.B. ein Ei und es schlüpft meistens ein Entchen daraus, selten ein Krokodilbaby und extrem selten ein Saurierbaby. Jedes Tier gibt es in verschieden häufigen Farben. Viele User werden zahlreiche Eier kaufen, weil sie unbedingt z.B. ein schwarzes Baby-Krokodil wollen, das ihren Sozialstatus unterstreichen soll und besonders rar und wertvoll ist. 
- Auch alternative VR-Szenarien (die fotorealistisch und interaktiv sind), sind für wenige Euro erschwinglich, viele User werden als Sammler einfach alles kaufen, was angebot wird. 
- In dieser Aufstellung rechnen wir mit realistischen 3,5 bis langfristig 10 Euro pro User und Jahr an Einnahmen, aber möglich wären auch 40 Euro oder mehr. connect bietet viel mehr verschiedenartigen Content, als klassische Spiele und die Inhalte sind noch relevanter für den eigenen Sozial-Status (virtuelle, möglichst realistische Welt, die realen Freunde als Bewunderer, statt fremde Spieler, etc.).</t>
        </r>
      </text>
    </comment>
    <comment ref="B21" authorId="0">
      <text>
        <r>
          <rPr>
            <b/>
            <sz val="9"/>
            <color indexed="81"/>
            <rFont val="Tahoma"/>
            <family val="2"/>
          </rPr>
          <t>Michael Schöggl:</t>
        </r>
        <r>
          <rPr>
            <sz val="9"/>
            <color indexed="81"/>
            <rFont val="Tahoma"/>
            <family val="2"/>
          </rPr>
          <t xml:space="preserve">
</t>
        </r>
        <r>
          <rPr>
            <b/>
            <sz val="9"/>
            <color indexed="81"/>
            <rFont val="Tahoma"/>
            <family val="2"/>
          </rPr>
          <t>Wieviel € gibt ein aktiver User im Durchschnitt für In-App-Käufe pro Monat aus?</t>
        </r>
        <r>
          <rPr>
            <sz val="9"/>
            <color indexed="81"/>
            <rFont val="Tahoma"/>
            <family val="2"/>
          </rPr>
          <t xml:space="preserve">
</t>
        </r>
        <r>
          <rPr>
            <u/>
            <sz val="9"/>
            <color indexed="81"/>
            <rFont val="Tahoma"/>
            <family val="2"/>
          </rPr>
          <t>Begründung für diesen Wert</t>
        </r>
        <r>
          <rPr>
            <sz val="9"/>
            <color indexed="81"/>
            <rFont val="Tahoma"/>
            <family val="2"/>
          </rPr>
          <t xml:space="preserve">:
- Wir rechnen mit 0,3 € (Q3 2020) bis 0,93 € (Q4 2022) pro Monat.
- Das sind sehr vorsichtige, pessimistische Schätzwerte, da offizielle Zahlen und Vergleiche mit anderen Apps/Spielen deutlich höhere Durchschnittswerte belegen. Siehe hierzu Quellen 04 bis 08. WeChat ARPU: 35 $.
- connect ist keine reine App, sondern auch als PC- bzw. PlayStation-Version und in VR erhältlich; dadurch können wir mit den deutlich höheren Einnahmen aus der Online-Spiele-Branche rechnen (siehe Quelle 08, im Durchschnitt 20 € pro Jahr). 
- Da connect "hochwertig" ist/wirkt (kein 2D-Handy-Spiel, sondern ein fotorealistischer Raum um mich herum), ist es sehr wahrscheinlich, dass unsere User auch mehr Geld auszugeben bereit sind, um ihr virtuelles Reich zu verbessern.
- Die gekauften Inhalte haben "persönliche Relevanz" (es sind keine Gimmicks für eine Spielfigur, sondern für </t>
        </r>
        <r>
          <rPr>
            <i/>
            <sz val="9"/>
            <color indexed="81"/>
            <rFont val="Tahoma"/>
            <family val="2"/>
          </rPr>
          <t>mein</t>
        </r>
        <r>
          <rPr>
            <sz val="9"/>
            <color indexed="81"/>
            <rFont val="Tahoma"/>
            <family val="2"/>
          </rPr>
          <t xml:space="preserve"> virtuelles Leben / Reich). 
- Durch den Social-Network-Aspekt erhöhen exklusive Inhalte meinen Sozial-Status gegenüber allen Freunden und nicht nur gegenüber anderen, unbekannten Gamern. 
- Viele In-App-Käufe sind tatsächlich nützlich (z.B. funktionelle Updates), es ist leicht, sie als sinnvoll zu betrachten und insofern auch eher Geld dafür auszugeben. Zudem sind es nicht nur spielerische Inhalte, sondern auch Medien- bzw. Erlebnis-Inhalte, deren Kauf kein negatives Image hat und mehr allgemeine Akzeptanz findet.
- Investitionen in Spiele haben nur kurz einen Wert, bald ist das Spiel nicht mehr interessant, die Preise verfallen (siehe Pokemon Go); bei einem sozialen Netzwerk bleiben meine Investments erhalten. 
- connect-Inhalte können verkauft, verschenkt und vertauscht werden, die Inhalte behalten dadurch an Wert. Das gilt für ALLE Freunde, nicht nur für fremde Gamer.
- Allein ein tauschbares, züchtbares interaktives, täuschend realistisches Haustier in VR wie z.B. ein Tigerbaby - dafür (oder für eine komplett neues Zuhause, z.B. einem Star Wars Raumschiff oder auf einem Piratenschiff) sind User eher bereit 1-15 € zu zahlen, als für Futter für einen "Pou" (bitte googlen). 
- Unsere In-App-Käufe sprechen zudem eine viel größere Zielgruppe an (z.B. VR Sex, VR Haustiere oder süße virtuelle Geschenke für Freunde oder nützliche Funktionen), als klassische In-App-Käufe in sehr spezifischen Spielen.
- connect wird eine Geldmaschine und unsere Schätzwerte sind (mittelfristig) lächerlich gering. 
- Ich könnte ein 500-Seiten-Buch darüber schreiben, warum wir viiiiel höhere Einnahmen durch In-App-Einnahmen haben werden, als der Durchschnitt in den zitierten Quellen. Das ist ein Thema, das wir diskutieren sollten.</t>
        </r>
      </text>
    </comment>
    <comment ref="C21" authorId="0">
      <text>
        <r>
          <rPr>
            <b/>
            <sz val="9"/>
            <color indexed="81"/>
            <rFont val="Tahoma"/>
            <family val="2"/>
          </rPr>
          <t>Michael Schöggl:</t>
        </r>
        <r>
          <rPr>
            <sz val="9"/>
            <color indexed="81"/>
            <rFont val="Tahoma"/>
            <family val="2"/>
          </rPr>
          <t xml:space="preserve">
</t>
        </r>
        <r>
          <rPr>
            <b/>
            <sz val="9"/>
            <color indexed="81"/>
            <rFont val="Tahoma"/>
            <family val="2"/>
          </rPr>
          <t>Um wieviel € pro Quartal werden sich die In-App-Ausgaben der User erhöhen lassen?</t>
        </r>
        <r>
          <rPr>
            <sz val="9"/>
            <color indexed="81"/>
            <rFont val="Tahoma"/>
            <family val="2"/>
          </rPr>
          <t xml:space="preserve">
</t>
        </r>
        <r>
          <rPr>
            <u/>
            <sz val="9"/>
            <color indexed="81"/>
            <rFont val="Tahoma"/>
            <family val="2"/>
          </rPr>
          <t>Begründung für diesen Wert</t>
        </r>
        <r>
          <rPr>
            <sz val="9"/>
            <color indexed="81"/>
            <rFont val="Tahoma"/>
            <family val="2"/>
          </rPr>
          <t>:
- Je mehr Inhalte wir anbieten, umso mehr wird auch gekauft. 
- Ist die Hemmschwelle mal gefallen, werden Stammkunden schneller und leichter weitere Käufe tätigen.
- Im Laufe der Quartale sammeln sich "Stammkunden" an, deren Verbundenheit mit connect immer stärker wird. Diese werden einen Sammlerehrgeiz entwickeln und möglichst viel / alles kaufen, was kaufbar ist.
- Wir werden die Anzahl der kaufbaren Inhalte zu Beginn sehr gering und überschaubar halten, damit ein Sammler-Instinkt entstehen kann (wenn es unmöglich ist, alles zu besitzen, wird dieser abgewürgt). Ein Prozentsatz der User wird versuchen alles zu erwerben, was es gibt. Langsam werden wir diese Anzahl steigern, d.h. es kommen mehr neue monatliche Inhalte dazu.
- Je mehr User connect bekommt, umso mehr Motivation entsteht, Freunden etwas zu kaufen und zu schenken (weil mehr Freunde auch connect verwenden).
- Je mehr User connect hat, umso eher werden In-App-Käufe ein positives, sozial angesehenes Image entwickeln. Die Hemmschwelle sinkt, auch deshalb, weil durch die Tauschbarkeit der Items der fiktive Wert nicht so leicht verloren geht.
- Zeitlich begrenzte Kaufmöglichkeiten werden dazu führen, dass manche User ihren Einkauf teurer weiterverkaufen können, weil die Userzahl und damit die Nachfrage gestiegen ist. Solche Strategien können wir nur im Laufe der Zeit entwickeln, wenn wir aber dieses Image der "Wertigkeit" unserer Inhalte erreicht haben, werden auch mehr Menschen Geld ausgeben.
- Der VR-Markt wächst, das Interesse an VR wächst, mehr Prozent unserer User werden VR-Technik verwenden und damit werden auch unsere klassischen VR-In-App-Käufe wie z.B. virtuelle Szenen / Räume / Einrichtungen an Beliebtheit zunehmen.</t>
        </r>
      </text>
    </comment>
    <comment ref="A22" authorId="0">
      <text>
        <r>
          <rPr>
            <b/>
            <sz val="9"/>
            <color indexed="81"/>
            <rFont val="Tahoma"/>
            <family val="2"/>
          </rPr>
          <t>Michael Schöggl:</t>
        </r>
        <r>
          <rPr>
            <sz val="9"/>
            <color indexed="81"/>
            <rFont val="Tahoma"/>
            <family val="2"/>
          </rPr>
          <t xml:space="preserve">
- Im virtuellen Zuhause der User werden alle Objekte Markenprodukte sein und da jedes Objekt eine Funktion hat (z.B. Fotos machen mit der Kamera), wird diese unterschwellige Product Placement Werbung nicht als aufdringlich wahrgenommen.
- Aktuell gibt es 2 Räume mit rund 15 verschiedenen Markenprodukten, langfristig wird der User sein virtuelles Zuhause um zahlreiche Räume erweitern, es wird komplett neue Szenen geben (z.B. eine Bar, um andere User zu treffen, Kino, Stadt, etc.). Dadurch werden immer mehr "Slots" für Markenprodukte geschaffen.
- Der User kann (in seinem eigenen Zuhause) alles individualisieren und wird z.B. regelmäßig neue Kamera-Modelle anzeigen, auch, weil er ein gewisses Interesse daran hat, immer das Neueste virtuell zu besitzen. Dadurch verdienen wir pro Slot und Jahr mehrmals, bei mehreren unterschiedlichen Markenprodukten. 
- Es gibt viele psychologische Gründe (siehe Kommentare bei den Werte), warum diese Form der Werbung effektiver ist, als alle anderen Zugänge, die es aktuell weltweit gibt.
- Der User wird die Möglichkeit haben, sich zu allen Objekten Informationen anzeigen zu lassen, z.B. wo er es um welchen (günstigsten) Preis kaufen kann, wie lang die Lieferung dauert, welche Bewertungen andere gegeben haben und welche technischen Eigenschaften die Objekte haben. Mittelfristig kann er sie direkt über uns bestellen, in Zusammenarbeit mit Amazon / Alibaba bzw. längerfristig eventuell durch einen eigenen Vertrieb (siehe dazu 2.5 Provision für direkte Online-Einkäufe). </t>
        </r>
      </text>
    </comment>
    <comment ref="B22" authorId="0">
      <text>
        <r>
          <rPr>
            <b/>
            <sz val="9"/>
            <color indexed="81"/>
            <rFont val="Tahoma"/>
            <family val="2"/>
          </rPr>
          <t xml:space="preserve">Michael Schöggl:
Wieviel € pro Monat und User verdienen wir mit Product Placement?
</t>
        </r>
        <r>
          <rPr>
            <u/>
            <sz val="9"/>
            <color indexed="81"/>
            <rFont val="Tahoma"/>
            <family val="2"/>
          </rPr>
          <t>Begründung für diesen Wert</t>
        </r>
        <r>
          <rPr>
            <sz val="9"/>
            <color indexed="81"/>
            <rFont val="Tahoma"/>
            <family val="2"/>
          </rPr>
          <t>:
- Wir werden mindestens folgende Prämien verlangen (die Preise könnten nach genauer Prüfung auch höher angesetzt werden, hier wollen wir mit vielen Experten und Partnern sprechen): 
&gt; 1 hour:      0.15 €/$ 
&gt; 2 hours: + 0.12 €/$ 
&gt; 3 hours: + 0.10 €/$ 
&gt; 4 hours: + 0.08 €/$ 
&gt; 5 hours: + 0.05 €/$
= insgesamt maximal 50 Cent.</t>
        </r>
        <r>
          <rPr>
            <sz val="9"/>
            <color indexed="81"/>
            <rFont val="Tahoma"/>
            <family val="2"/>
          </rPr>
          <t xml:space="preserve">
- Die Werbung ist unterschwellig, nicht aufdringlich, wirkt über Stunden, Tage oder Monate (statt Sekunden), die Objekte sind interaktiv und teilweise lustig, der User gewöhnt sich an sie, baut eine Bindung zu ihnen auf. Die Werbung ist ganz nahe an der Realität (keine abstrakte Verbindung) und wir können das positive Erlebnis mit den Objekten gezielt steuern (durch z.B. lustige, spannende, positive Ereignisse).
- Jeder NEUE Werbezugang trifft zu Beginn auf weniger Abwehr, warum Profis immer nach neuen Zugängen suchen, die noch nicht durch viele Konkurrenten überlaufen sind und beim Kunden zur Sättigung und Abwehr führen. Daher ist unser Werbezugang äußerst effektiv. 
- Der User wird alle Objekte in 3D von allen Seiten bewundern können, kann sie hochheben, neu platzieren. Er kann Materialien austauschen (z.B. bei Möbeln das Funier oder den Bezug wechseln) und sich somit alles so gestalten, wie es ihm gefällt. Die Objekte, die er im Raum hat, werden seinem Geschmack entsprechen (zielgruppenspezifisch) und der User wird seine Entscheidung aufgrund des Bedürfnisses "Recht zu behalten" gegenüber sich und anderen verteidigen, er wird zum Verfechter seiner Wahl. 
- Weitere Infos und Argumente: siehe Wert rechts und Beschreibung links!
</t>
        </r>
      </text>
    </comment>
    <comment ref="C22" authorId="0">
      <text>
        <r>
          <rPr>
            <b/>
            <sz val="9"/>
            <color indexed="81"/>
            <rFont val="Tahoma"/>
            <family val="2"/>
          </rPr>
          <t>Michael Schöggl:</t>
        </r>
        <r>
          <rPr>
            <sz val="9"/>
            <color indexed="81"/>
            <rFont val="Tahoma"/>
            <family val="2"/>
          </rPr>
          <t xml:space="preserve">
</t>
        </r>
        <r>
          <rPr>
            <b/>
            <sz val="9"/>
            <color indexed="81"/>
            <rFont val="Tahoma"/>
            <family val="2"/>
          </rPr>
          <t>Um wieviel Cent pro Quartal werden sich die monatlichen Einnahmen durch Product Placement erhöhen?</t>
        </r>
        <r>
          <rPr>
            <sz val="9"/>
            <color indexed="81"/>
            <rFont val="Tahoma"/>
            <family val="2"/>
          </rPr>
          <t xml:space="preserve">
</t>
        </r>
        <r>
          <rPr>
            <u/>
            <sz val="9"/>
            <color indexed="81"/>
            <rFont val="Tahoma"/>
            <family val="2"/>
          </rPr>
          <t>Begründung für diesen Wert</t>
        </r>
        <r>
          <rPr>
            <sz val="9"/>
            <color indexed="81"/>
            <rFont val="Tahoma"/>
            <family val="2"/>
          </rPr>
          <t xml:space="preserve">:
- Wie im Kommentar der Beschreibung links dargestellt, gibt es zu Beginn rund 15 Slots in den aktuell 2 Räumen, um Markenprodukte anzuzeigen. Unsere VR-Welt wächst, es werden im Laufe der Zeit hunderte Slots werden. Da der User regelmässig seine eigenen Objekte im Raum im Zuge der Individualisierung austauschen wird (z.B. im Schnitt alle 3 Monate die Möbel) und wir bei öffentlichen Räumen (z.B. Bar, Stadt, etc.) gleich verfahren, können wir pro Slot mehrmals pro Jahr mit Einnahmen von unterschiedlichen Partnern rechnen. Jeder Slot wird also mehr bringen, als 50 Cent pro User.
- Wir rechnen hier mit extrem vorsichtigen, bescheidenen Werten. Statistische Daten zeigen, dass User im Durchschnitt mehrere Stunden am Tag aktiv sind, in einem virtuellen Zuhause bzw. einer virtuellen Welt vllt sogar mehr. Je aktiver, umso länger betrachtet er die Product Placement Werbung. 
- Bei 27 Cent pro User und Monat würden wir davon ausgehen, dass der User in diesem Monat nur eines der aktuell 15 Objekte für mehr als 2 Stunden gesehen hat, oder 2 Objekte für jeweils mehr als 1 Stunde (siehe Preisgestaltung im Kommentar links). 
- Natürlich liegen die meisten Objekte direkt im Blick der Standard-Bildschirmausschnitte, die der User regelmäßig verwendet, z.B. am virtuellen Schreibtisch, wo alle Social Network Funktionen zu finden sind. Da die Objekte alle Funktionen haben, werden sie zwangsläufig regelmäßig betrachtet.
- Es ist extrem viel Luft nach oben. Langfristig könnten User pro Monat bei 50 Objekten die Obergrenze von 5 Stunden Betrachtung erreichen, das wären dann 25 € pro MONAT! 
- Zudem sind unsere Preise mehr als moderat und könnten deutlich höher sein, oder angehoben werden (wenn sich immer mehr Unternehmen um unsere Werbung streiten - vgl. Google/Facebook: die Preise sind dann die Höchstgebote). 
- Darum rechnen wir natürlich mit einer Steigerung der Einnahmen pro Quartal, 10 Cent sind sehr pessimistisch und locker zu erreichen. </t>
        </r>
      </text>
    </comment>
    <comment ref="A23" authorId="0">
      <text>
        <r>
          <rPr>
            <b/>
            <sz val="9"/>
            <color indexed="81"/>
            <rFont val="Tahoma"/>
            <family val="2"/>
          </rPr>
          <t xml:space="preserve">Michael Schöggl:
</t>
        </r>
        <r>
          <rPr>
            <sz val="9"/>
            <color indexed="81"/>
            <rFont val="Tahoma"/>
            <family val="2"/>
          </rPr>
          <t xml:space="preserve">
- Ca. 30% Provision an allen Verkäufen.
- Zu Beginn bringt uns dieser Zugang weniger, als unser eigener In-App-Shop unter 2.1, aber je mehr User wir haben, umso mehr Drittanbieter werden Inhalte für connect bauen und umso mehr Kaufmöglichkeiten werden User haben und auch nutzen. 
- Große Unternehmen wie Walt Disney sollen z.B. ihre Welten als VR-Szene bereitstellen - z.B. Star Wars oder Fluch der Karibik. Für solche fotorealistischen, interaktiven VR-Szenen können die Preise deutlich höher sein (ca. 5-10 €), als bei virtuellen Haustieren, Spielen, Gimmicks und Co.</t>
        </r>
      </text>
    </comment>
    <comment ref="B23" authorId="0">
      <text>
        <r>
          <rPr>
            <b/>
            <sz val="9"/>
            <color indexed="81"/>
            <rFont val="Tahoma"/>
            <family val="2"/>
          </rPr>
          <t>Michael Schöggl:</t>
        </r>
        <r>
          <rPr>
            <sz val="9"/>
            <color indexed="81"/>
            <rFont val="Tahoma"/>
            <family val="2"/>
          </rPr>
          <t xml:space="preserve">
</t>
        </r>
        <r>
          <rPr>
            <b/>
            <sz val="9"/>
            <color indexed="81"/>
            <rFont val="Tahoma"/>
            <family val="2"/>
          </rPr>
          <t>Wieviel € pro Monat verdienen wir durch Provision an Drittanbieter-Inhalten?</t>
        </r>
        <r>
          <rPr>
            <sz val="9"/>
            <color indexed="81"/>
            <rFont val="Tahoma"/>
            <family val="2"/>
          </rPr>
          <t xml:space="preserve">
</t>
        </r>
        <r>
          <rPr>
            <u/>
            <sz val="9"/>
            <color indexed="81"/>
            <rFont val="Tahoma"/>
            <family val="2"/>
          </rPr>
          <t>Begründung für diesen Wert</t>
        </r>
        <r>
          <rPr>
            <sz val="9"/>
            <color indexed="81"/>
            <rFont val="Tahoma"/>
            <family val="2"/>
          </rPr>
          <t>:
- Der Start wird sehr bescheiden sein, weil es nur wenige Drittanbieter geben wird. Durch den zweiten Wert (siehe Spalte rechts) wird der Zugewinn an weiteren Drittanbieter dargestellt, durch den dieses Geschäftsmodell sehr schnell an Bedeutung gewinnt.
- Der Wert ist auch deshalb deutlich geringer, als für In-App-Käufe, weil wir nur einen Anteil erhalten, nicht die volle Summe. Wir werden rund 30% an Provision verlangen.</t>
        </r>
      </text>
    </comment>
    <comment ref="C23" authorId="0">
      <text>
        <r>
          <rPr>
            <b/>
            <sz val="9"/>
            <color indexed="81"/>
            <rFont val="Tahoma"/>
            <family val="2"/>
          </rPr>
          <t>Michael Schöggl:</t>
        </r>
        <r>
          <rPr>
            <sz val="9"/>
            <color indexed="81"/>
            <rFont val="Tahoma"/>
            <family val="2"/>
          </rPr>
          <t xml:space="preserve">
</t>
        </r>
        <r>
          <rPr>
            <b/>
            <sz val="9"/>
            <color indexed="81"/>
            <rFont val="Tahoma"/>
            <family val="2"/>
          </rPr>
          <t>Um wieviel € pro Quartal erhöhen sich unsere monatlichen Einnahmen durch Provision für Drittanbieter-Inhalte?</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mehr Drittanbieter werden über uns Inhalte verkaufen (z.B. alternative 3D-Umgebungen, virtuelle Haustiere oder klassische Merchandising-Produkte in VR).
- Die Zahl ist gleich hoch, wie bei In-App-Käufen, stellt aber eine fast dreimal so schnelle Steigerung dar, weil wir nur ca. 30% an Provision von diesen In-App-Inhalten erhalten werden. Wir gehen aber davon aus, dass rund 3/4 aller verfügbaren In-App-Käufe von Drittanbietern stammen werden und diese Einnahmequelle langfristig die Einnahmen durch eigene Inhalte überholen wird. 
- Wir werden nur Inhalte von Partnern zulassen, die höchsten Qualitätsansprüchen genügen und auch nur dann, wenn sie vor der Entwicklung abgesprochen waren. Wir werden es um jeden Preis verhindern, dass mindere Qualität unser Image zerstört, alle Inhalte müssen a.) funktionell und interaktiv, b.) möglichst fotorealistisch c.) preislich fair (d.h. eher günstig, Massenmarkt) sein. 
- Wir wollen auf keinen Fall, dass der Sammler-Instinkt unserer User durch ein Überangebot (noch dazu von schlechter Qualität - wo der Einkauf als unfair empfunden wird und die Zufriedenheit riskiert) zerstört wird. Es soll möglich bleiben, dass ein User alles kauft, was es gibt - ohne dass er dabei mehr als rund 1000 € ausgibt. Besonders seltene Inhalte werden nicht kaufbar sein (sondern z.B. Aufwand bedeuten oder durch Zufall limitiert), da bereits ein einziger kaufbarer Inhalt, der zu teuer ist, den Sammeltick bei fast allen Menschen zerstören würde.
- Geplante maximale Gesamtausgaben (wenn ein User alles kaufbare kauft): 2020: 70 €, 2021: 200 €, 2022: 400 €, ... 2023: 1000 €. Wir wollen, dass möglichst viele Menschen möglichst alles kaufen / sammeln. 
- Wir werden Anreize (Belohnungen, Visualisierungen, Titel etc.) für User schaffen, die alle kaufbaren Inhalte gesammelt haben (ebenso wie alle, die man z.B. durch den Tresor oder durch Erfolge erhalten kann, etc. - aber da wird das Erreichen des Ziels viel schwieriger sein, weshalb viele sich als Ersatz den Erfolg für alle kaufbaren Inhalte holen werden). </t>
        </r>
      </text>
    </comment>
    <comment ref="D23" authorId="0">
      <text>
        <r>
          <rPr>
            <b/>
            <sz val="9"/>
            <color indexed="81"/>
            <rFont val="Tahoma"/>
            <family val="2"/>
          </rPr>
          <t>Michael Schöggl:</t>
        </r>
        <r>
          <rPr>
            <sz val="9"/>
            <color indexed="81"/>
            <rFont val="Tahoma"/>
            <family val="2"/>
          </rPr>
          <t xml:space="preserve">
- Der Schätzwert zu Frage 7 (Einnahmen durch 2.3, 2.4 und 2.5) wird gleichmäßig auf 2.3, 2.4 und 2.5 aufgeteilt. In Wirklichkeit wird die Verteilung zwar ziemlich sicher nicht gleichmäßig sein, aber für das Ergebnis ist das irrelevant.</t>
        </r>
      </text>
    </comment>
    <comment ref="A24" authorId="0">
      <text>
        <r>
          <rPr>
            <b/>
            <sz val="9"/>
            <color indexed="81"/>
            <rFont val="Tahoma"/>
            <family val="2"/>
          </rPr>
          <t>Michael Schöggl:</t>
        </r>
        <r>
          <rPr>
            <sz val="9"/>
            <color indexed="81"/>
            <rFont val="Tahoma"/>
            <family val="2"/>
          </rPr>
          <t xml:space="preserve">
- Wenn User über uns zu VR-Shops vermittelt werden und in diesen einkaufen, verlangen wir zwischen 1 bis 5 % an Provision (der Wert steht noch nicht fest, er soll mit Experten und Partnern besprochen werden). 
- VR-Shops müssen irgendwie an User kommen, diese sind in der Regel zu faul, um extra dafür eine Software runterzuladen, sich anzumelden, auf Gerätekompatibilität zu prüfen, ihre Bezahldaten für jeden Shop extra anzugeben, etc. Daher könnten wir das "Amazon in VR" werden, wir übernehmen diesen Service und verlangen dafür Provision. 
- Wir könnten auch das Erstellen von VR-Shops anbieten, damit diese bestmöglich unseren Anforderungen entsprechen. Allgemein aber ist connect so gestaltet, dass bestmöglich Schnittstellen zu VR-Shops unterstützt. Wir arbeiten mit Unity, einer Game Enigne, mit der rund 70 % der gesamten VR/AR-Software weltweit erstellt wird. Alle Unity-Szenen wären plattformunabhängig und leicht mit uns verknüpfbar. 
- Wir wollen mittelfristig ein Baukasten-System anbieten, mit dem jeder Partner sehr einfach einen VR-Shop in Unity erstellen kann und mit unserem Netzwerk anknüpfen. Dasselbe haben wir für Medien bereits gemacht - dort gibt es bereits eine Online-Plattform für die Verknüpfung aller Video-, Audio-, Print- oder Internet-Medien mit unserem virtuellen Zuhause. Der Aufwand beträgt weniger als 30 Minuten, auch der Aufwand für VR-Shops soll minimalisiert werden. 
- Ein Baukasten könnte den Partnern ermöglichen, dass sie sich sehr schnell einen Shop zusammenbasteln, mit Logos, Einrichtung und Design schmücken und nur noch ihre eigenen, verkaufbaren Produkte als 3D-Modelle einbringen müssen. Diese existieren schon jetzt für die meisten Produkte, weil die "Fotos" auf Amazon keine Fotos sondern 3D-Renderings von 3D-Modellen sind. 
- Wir haben mit einer Vielzahl von internationalen Unternehmen bei Business-Veranstaltungen gesprochen und wissen genau, worauf es ankommt und wie wir hier das einfachste, attraktivste Modell einer Zusammenarbeit gestalten müssen. 
- Auch ohne unseren Baukasten: Wer einen VR-Shop baut, wird gut darin beraten sein, ihn Unity-tauglich zu kreieren, weil er ihn nur so kompatibel mit vielen Plattformen (Hardware) und Netzwerken (Software) gestalten kann. 
- Oculus (Facebook) und Amazon versuchen einen restriktiven Weg zu gehen und eine eigene Enigne für die Erstellung von VR-Inhalten anzubieten (es gibt bisher nur Ankündigungen), aber dann wären alle Partner "gefangen" und abhängig und würden nur über eine Hardware (Oculus Brille) bzw. einen Anbieter (Amazon) ihre Shops anbinden können. Es ist sehr wahrscheinlich, dass es uns gelingt, mehr Partner durch eine nicht restriktive Politik zu gewinnen, weil deren Shops nicht nur mit unserem Produkt funktionieren würden, sondern bei ca. 90% aller Anbieter. Außerdem ist die Enigne Unity mit 12 Jahren Vorsprung viel besser, als die noch unfertigen Neuentwicklungen von Amazon und Facebook. Wir sind hier vergleichbar mit Microsoft bzw. Android (unterstützen möglichst alles) versus Apple bzw. iPhone (restriktive Politik, die von FB und Amazon kopiert wird).</t>
        </r>
      </text>
    </comment>
    <comment ref="B24" authorId="0">
      <text>
        <r>
          <rPr>
            <b/>
            <sz val="9"/>
            <color indexed="81"/>
            <rFont val="Tahoma"/>
            <family val="2"/>
          </rPr>
          <t>Michael Schöggl:</t>
        </r>
        <r>
          <rPr>
            <sz val="9"/>
            <color indexed="81"/>
            <rFont val="Tahoma"/>
            <family val="2"/>
          </rPr>
          <t xml:space="preserve">
</t>
        </r>
        <r>
          <rPr>
            <b/>
            <sz val="9"/>
            <color indexed="81"/>
            <rFont val="Tahoma"/>
            <family val="2"/>
          </rPr>
          <t xml:space="preserve">
Wieviel € werden wir pro Monat an Provision für die Vermittlung unserer User zu VR-Shops erhalten?</t>
        </r>
        <r>
          <rPr>
            <sz val="9"/>
            <color indexed="81"/>
            <rFont val="Tahoma"/>
            <family val="2"/>
          </rPr>
          <t xml:space="preserve">
</t>
        </r>
        <r>
          <rPr>
            <u/>
            <sz val="9"/>
            <color indexed="81"/>
            <rFont val="Tahoma"/>
            <family val="2"/>
          </rPr>
          <t>Begründung für diesen Wert</t>
        </r>
        <r>
          <rPr>
            <sz val="9"/>
            <color indexed="81"/>
            <rFont val="Tahoma"/>
            <family val="2"/>
          </rPr>
          <t xml:space="preserve">:
- Der Wert startet sehr bescheiden, weil zu Beginn (ab 2021) noch wenige VR-Shops an uns angebunden sein werden und auch nur wenige erste Early Adopter User in VR einkaufen werden. 
- Die Steigerung rechts ist deutlich höher (siehe Begründung dafür im Kommentar rechts). 
- Wir werden ca. 2 - 10 % an Provision für Einkäufe, die durch uns vermittelt wurden, verlangen. Dieser Wert soll noch von Experten und in Absprache mit Partnern geprüft und gegebenfalls angepasst werden. 
</t>
        </r>
      </text>
    </comment>
    <comment ref="C24" authorId="0">
      <text>
        <r>
          <rPr>
            <b/>
            <sz val="9"/>
            <color indexed="81"/>
            <rFont val="Tahoma"/>
            <family val="2"/>
          </rPr>
          <t>Michael Schöggl:
Um wieviel € pro Quartal steigern sich unsere monatlichen Einnahmen durch Provision für VR-Shops?</t>
        </r>
        <r>
          <rPr>
            <sz val="9"/>
            <color indexed="81"/>
            <rFont val="Tahoma"/>
            <family val="2"/>
          </rPr>
          <t xml:space="preserve">
</t>
        </r>
        <r>
          <rPr>
            <u/>
            <sz val="9"/>
            <color indexed="81"/>
            <rFont val="Tahoma"/>
            <family val="2"/>
          </rPr>
          <t>Begründung für diesen Wert</t>
        </r>
        <r>
          <rPr>
            <sz val="9"/>
            <color indexed="81"/>
            <rFont val="Tahoma"/>
            <family val="2"/>
          </rPr>
          <t xml:space="preserve">:
- Die ersten Unternehmen, die ihre Waren auch zum Kauf in VR-Shops anbieten, werden allein durch die Neugier der VR-User, die solche Shops mal erleben wollen, eine neue, zusätzliche Zielgruppe erschließen.
- Selbst, wenn das nicht stimmt: kein großes Unternehmen wird es sich leisten können, diesen Markt zu verschlafen. Wer würde schon gerne das Online-Shopping komplett verschlafen? Es gehört beinahe zur Pflicht eines großen Unternehmens, im Zuge der Risikominimierung, möglichst rasch auch einen VR-Shop anzubieten (Beispiele wie Kodak oder Nokia schrecken Manager, die sich gegenüber Aktionären verantworten müssen, ab).
- Die Erstellung eines VR-Shops kostet nicht mehr als ca. 100.000 bis 2 Millionen Euro. Wir könnten solche Auftragsarbeiten auch anbieten, wenn wir wollen! (Nachfrage haben wir bereits mehr als genug erhalten). 
- Das Feedback von mehr als einem Dutzend großer Unternehmen (darunter Porsche, A1, Red Bull, Deutsche Telekom, Wirecard, Casino-Anbieter etc.) war, dass sie ernsthaft an einem VR-Shop interessiert sind, ihn uns in Auftrag geben würden oder bereits selbst daran arbeiten. 
- Auch Statistiken (siehe Quelle 17) belegen, dass viele Unternehmen sehr bald (wir rechnen ab 2021) VR-Shops anbieten werden. Zudem belegen sie (siehe Quelle 5), dass Shopping-Apps im Schnitt pro User rund 2,68 € pro Monat verdienen. 
- Wir haben connect (mit der weitweit größten VR- und Game Engine Unity) so modular und erweiterbar entwickelt, dass unsere App mit möglichst vielen VR-Erlebnissen verknüpft werden kann. Es wird uns leichter, als anderen Mitbewerbern fallen, fast jeden VR-Inhalt (und somit auch Shops) anzubinden. Selbst, wenn das in einigen Fällen nicht automatisch gehen sollte, wäre der Aufwand für ein Unternehmen, ihren Shop für uns anknüpfbar zu machen, sehr gering (3D kann importiert werden und für die Funktionalität des Einkaufens bieten wir eine eigene Lösung an).
- Es ist unser Ziel, connect zum größten VR-Netzwerk der Welt zu entwickeln, also so flexibel erweiterbar, dass möglichst jeder VR-Inhalt mit unserer VR-Welt verbunden werden kann. Wir haben hier sehr viel Zeit und Geld in die Entwicklung eines plattformunabhängigen, modularen Systems gesteckt, das diesen Anforderungen besser als jeder Mitbewerber gerecht werden kann. Details bitte persönlich besprechen. 
- VR-Shopping wird langfristig einen ähnlich großen Markt wie Online-Shopping erzielen und wenn es uns gelingt, DIE Anlaufstelle für VR-Shops zu werden, um an neue Kunden zu kommen, dann wird dieses Geschäftsmodell mit Abstand alle übrigen (ohnehin bereits sehr lukrativen) in den Schatten stellen. 
- Kein Mensch lädt eine eigene Software herunter, registriert sich extra, stellt Bezahlmöglichkeiten ein, kümmert sich um Updates, Patches und Geräteinkompatibilitäten, nur, um Zugang zu einem VR-Shop zu erhalten, dessen Anbieter er nicht einmal kennt. Die User müssen komplett ohne Aufwand auf die Idee gebracht werden, dass es diese Produkte in VR zu kaufen gibt und sie ihrem Interesse entsprechen. Sie laufen durch eine virtuelle Stadt, wo jene Shops, die sie speziell interessieren, instanziert werden, oder sie bekommen Vorschläge am virtuellen Fernseher (wie TV-Sender) und teleportieren sich rein.
- Jeder Anbieter eines VR-Shops wird auf eine Vermittlung wie die unsere angewiesen sein, um an Kunden zu kommen. Menschen kaufen auch lieber bei Amazon ein, als den Online-Shop eines unbekannten kleines Anbieters zu suchen, zu finden und sich dort anzumelden. In VR ist der Aufwand noch viel höher, weil eine 3D-Shop-Umgebung manuell heruntergeladen und installiert werden müsste, anstatt über uns automatisch verknüpft zu werden.
- Eine Steigerung um rund 10 Cent pro Quartal ist realistisch, das entspräche bei 5% Provision einem Anwachsen der durchschnittlichen monatlichen Shopping-Ausgaben um 2 € (bzw. 8 € pro Jahr). Verglichen mit den Einkünften durch Online-Shopping, ist das sehr vorsichtig.
- VR-Shops haben werden langfristig deutlich beliebter sein, als Online-Shops, weil der User seine Einkäufe an seinem virtuellen Avatar (Spielfigur) in fotorealistischer Grafik erproben kann. Z.B. sammelt eine Frau hunderte virtuelle Schuhe aus VR-Shops in ihrem virtuellen Zuhause, probiert diese mit ihrem Avatar (der aussieht, wie sie) an und bestellt ihre Lieblingsschuhe dann direkt über connect bzw. den angebundenen VR-Shop. Darüber kann jedes Produkt in VR von allen Seiten betrachtet werden und der User kann damit interagieren, z.B. Kamera-Funktionen ausprobieren oder aus verschiedenen Modellen wählen (z.B. verschiedene Materialien, Farben etc.). Die VR-Welt ist auch übersichtlicher und virtuell erprobte Produkte lassen sich in VR Freunden zeigen, was zu Feedback und Bestätigung ("Ja, das Kleid steht dir!") führt. </t>
        </r>
      </text>
    </comment>
    <comment ref="D24" authorId="0">
      <text>
        <r>
          <rPr>
            <b/>
            <sz val="9"/>
            <color indexed="81"/>
            <rFont val="Tahoma"/>
            <family val="2"/>
          </rPr>
          <t>Michael Schöggl:</t>
        </r>
        <r>
          <rPr>
            <sz val="9"/>
            <color indexed="81"/>
            <rFont val="Tahoma"/>
            <family val="2"/>
          </rPr>
          <t xml:space="preserve">
- Der Schätzwert zu Frage 7 (Einnahmen durch 2.3, 2.4 und 2.5) wird gleichmäßig auf 2.3, 2.4 und 2.5 aufgeteilt. In Wirklichkeit wird die Verteilung zwar ziemlich sicher nicht gleichmäßig sein, aber für das Ergebnis ist das irrelevant.</t>
        </r>
      </text>
    </comment>
    <comment ref="A25" authorId="0">
      <text>
        <r>
          <rPr>
            <b/>
            <sz val="9"/>
            <color indexed="81"/>
            <rFont val="Tahoma"/>
            <family val="2"/>
          </rPr>
          <t>Michael Schöggl:</t>
        </r>
        <r>
          <rPr>
            <sz val="9"/>
            <color indexed="81"/>
            <rFont val="Tahoma"/>
            <family val="2"/>
          </rPr>
          <t xml:space="preserve">
- Alle Product Placement Objekte in connect sollen ab 2021 auch gekauft werden können. Wir sprechen bereits mit Wirecard bezüglich Bezahlsystem und Kooperation. 
- Eine Zusammenarbeit mit Amazon (für die Logistik) wäre perfekt, ansonsten könnten wir auch nur vermitteln und der Produzent übernimmt selbst den Versand. Wir würden dann direkt zwischen Produzent und Konsument vermitteln, Provision verdienen, den Zwischenhandel ausschalten und den Versand den Unternehmen (oder Amazon) überlassen. 
- Wir rechnen mit 10% an Provision (dieser Richtwert muss erst von Experten geprüft werden, aber wenn der gesamte Zwischenhandel wegfällt und nur der Vertrieb übrig bleibt, sollte das mehr als fair sein).
- Langfristig können praktisch alle Produkte in unserer VR-Welt repräsentiert werden, entweder im virtuellen Zuhause (mit Büro) der User (auch im echten Zuhause lassen sich 95% aller Konsum-Produkte im Zuhause oder Büro finden) oder in Social Places, wie z.B. Bar, Kino, Shop, Stadt, Urlaubsziel etc.
- Vorteil: Im echten Leben wäre es sehr aufwendig, kostspielig und aufgrund mangelnder Informationen kaum schaffbar, genau jene Produkte, die unsere User interessieren, dort virtuell zu platzieren, wo sie schnell und unaufdringlich wahrgenommen werden. In VR ist das kinderleicht. 
- Die Objekte hätten dieselbe Funktion wie im realen Leben (damit der Zugang spielerisch ist und der User häufig interagiert) und der User könnte frei entscheiden, welche Produkte auftauchen dürfen (bzw. er direkt selbst auswählt und platziert) und welche nicht (damit es keine aufdringliche Werbung ist - gilt natürlich nicht für Social Places).
- User richten ihr virtuelles Zuhause mit virtuellen Gegenständen ein, die sie jederzeit direkt bestellen können - oder sie können in connect einstellen, wann welche Markenprodukte automatisch geliefert werden sollen, z.B. wenn das Klopapier ausgeht. Die Darstellung eines Mangels könnte im VR-Zuhause mit dem realen Zuhause übereinstimmen.</t>
        </r>
      </text>
    </comment>
    <comment ref="B25" authorId="0">
      <text>
        <r>
          <rPr>
            <b/>
            <sz val="9"/>
            <color indexed="81"/>
            <rFont val="Tahoma"/>
            <family val="2"/>
          </rPr>
          <t>Michael Schöggl:</t>
        </r>
        <r>
          <rPr>
            <sz val="9"/>
            <color indexed="81"/>
            <rFont val="Tahoma"/>
            <family val="2"/>
          </rPr>
          <t xml:space="preserve">
</t>
        </r>
        <r>
          <rPr>
            <b/>
            <sz val="9"/>
            <color indexed="81"/>
            <rFont val="Tahoma"/>
            <family val="2"/>
          </rPr>
          <t>Wieviel € pro User nehmen wir durch Provision für den Einkauf von Product Placement Produkten innerhalb unserer eigenen VR-Inhalte ein?</t>
        </r>
        <r>
          <rPr>
            <sz val="9"/>
            <color indexed="81"/>
            <rFont val="Tahoma"/>
            <family val="2"/>
          </rPr>
          <t xml:space="preserve">
</t>
        </r>
        <r>
          <rPr>
            <u/>
            <sz val="9"/>
            <color indexed="81"/>
            <rFont val="Tahoma"/>
            <family val="2"/>
          </rPr>
          <t>Begründung für diesen Wert</t>
        </r>
        <r>
          <rPr>
            <sz val="9"/>
            <color indexed="81"/>
            <rFont val="Tahoma"/>
            <family val="2"/>
          </rPr>
          <t>:
- Im Gegensatz zur Provision, wenn User in einem fremden VR-Shop einkaufen, bezieht sich diese Provision auf den Einkauf von Produkten, die direkt in den virtuellen Szenen, die wir selbst anbieten, positioniert waren. 
- Zu Beginn, mit 2021, wird nur ein Teil der Product Placement Partner bereit sein, dieser Erweiterung auf In-App-Käufe zuzustimmen (schließlich müssen wir zeigen, dass sich der Aufwand lohnt). Durch erste Erfolgszahlen werden sich immer mehr überzeugen lassen. Wir rechnen also mit einem langsamen Start. 
- Es ist sehr schwer abzuschätzen, wieviele unserer User direkt über connect einkaufen werden. Über das Internet kaufen Menschen sehr gerne ein, ebenso über Amazon. Wenn es uns gelingen würde, zu einem der beliebtesten Einkaufsorte in VR zu werden, würden wir mit ca. 5-20 € pro User und Jahr (nicht Monat) rechnen können. Realistisch ist jedoch weiteraus weniger:
- Schätzwert 2021: Jeder 100ste User kauft einmal im Jahr über uns ein Produkt um durchschnittlich 100 € (die meisten Produkte, wie Möbel, technische Geräte etc. sind teurer) und wir erhalten 10% Provision daran. Das entspräche nicht ganz 1 Cent pro User und Monat, unser Startwert.</t>
        </r>
      </text>
    </comment>
    <comment ref="C25" authorId="0">
      <text>
        <r>
          <rPr>
            <b/>
            <sz val="9"/>
            <color indexed="81"/>
            <rFont val="Tahoma"/>
            <family val="2"/>
          </rPr>
          <t>Michael Schöggl:</t>
        </r>
        <r>
          <rPr>
            <sz val="9"/>
            <color indexed="81"/>
            <rFont val="Tahoma"/>
            <family val="2"/>
          </rPr>
          <t xml:space="preserve">
</t>
        </r>
        <r>
          <rPr>
            <b/>
            <sz val="9"/>
            <color indexed="81"/>
            <rFont val="Tahoma"/>
            <family val="2"/>
          </rPr>
          <t>Um wieviel € pro Quartal steigern sich die Einnahmen durch Provision für den Verkauf von Produkten direkt innerhalb der connect VR-Umgebung?</t>
        </r>
        <r>
          <rPr>
            <sz val="9"/>
            <color indexed="81"/>
            <rFont val="Tahoma"/>
            <family val="2"/>
          </rPr>
          <t xml:space="preserve">
</t>
        </r>
        <r>
          <rPr>
            <u/>
            <sz val="9"/>
            <color indexed="81"/>
            <rFont val="Tahoma"/>
            <family val="2"/>
          </rPr>
          <t>Begründung für diesen Wert</t>
        </r>
        <r>
          <rPr>
            <sz val="9"/>
            <color indexed="81"/>
            <rFont val="Tahoma"/>
            <family val="2"/>
          </rPr>
          <t>:
- Schätzwert 2021: Jeder 100ste User kauft einmal im Jahr über uns ein Produkt um durchschnittlich 100 € (die meisten Produkte, wie Möbel, technische Geräte etc. sind teurer) und wir erhalten 10% Provision daran. Das entspräche nicht ganz 1 Cent pro User und Monat, unser Startwert.
- Schätzwerte 2024: Jeder 10te User kauft pro Jahr über connect Produkte im Wert von 300 €, wir erhalten 10% Provision. Das entspräche 0,25 € pro User und Monat, unser Zielwert. 
- Langfristig können wir die Einnahmen über dieses Geschäftsmodell deutlich steigern, wenn unsere VR-Welt wächst (also unsere User auch virtuelle Kinokarten, Reisen, Flüge, Gutscheine, Möbel, Geschenke, Dekoration, etc. kaufen) oder wenn wir dieses Geschäftsmodell um Essens-Lieferservices oder Abos für Alltags-Konsumgüter bzw. Lebensmittel erweitern. 
- Beispiel 1: Wir bieten einen eigenen Lieferservice an, bei dem der User auf einer virtuellen Karte am Schreibtisch die Position der Lieferung verfolgen kann. Die Auswahl der Speisen erfolgt über virtuelle Darstellungen derselben (z.B. auf einem Teller am Schreibtisch). Wir bauen ein automatisches System, wo jedes Restaurant sich einfach anmelden kann und wir übernehmen die Lieferung (durch Studenten, die mit einer App den kürzesten Weg angezeigt bekommen und mit dem eigenen Auto für alle Restaurants im Einzugsgebiet gleichermaßen arbeiten). 
- Beispiel 2: Beim virtuellen Kühlschrank stelle ich ein, welche Produkte in welcher Menge im echten Kühlschrank aufzufinden sein sollen - und bevor sie vollständig aufgebraucht werden (oder spätestens danach), wird automatisch Nachschub geliefert. Dasselbe für den Inhalt von Regalen, für Drogerieprodukte, Tierfutter etc.
- Es gibt endlos viele Möglichkeiten, mit einer virtuellen Welt Geld zu verdienen, aber diese langfristigen Ideen (Beispiel 1 und 2) fließen nicht in unsere Prognose ein, dafür sind sie viel zu zukunftsfern. Daher rechnen wir zunächst mit 1 Cent bis knapp 25 Cent pro User und Monat, bzw. mit einer Steigerung um 2 Cent pro Quartal.</t>
        </r>
      </text>
    </comment>
    <comment ref="D25" authorId="0">
      <text>
        <r>
          <rPr>
            <b/>
            <sz val="9"/>
            <color indexed="81"/>
            <rFont val="Tahoma"/>
            <family val="2"/>
          </rPr>
          <t>Michael Schöggl:</t>
        </r>
        <r>
          <rPr>
            <sz val="9"/>
            <color indexed="81"/>
            <rFont val="Tahoma"/>
            <family val="2"/>
          </rPr>
          <t xml:space="preserve">
- Der Schätzwert zu Frage 7 (Einnahmen durch 2.3, 2.4 und 2.5) wird gleichmäßig auf 2.3, 2.4 und 2.5 aufgeteilt. In Wirklichkeit wird die Verteilung zwar ziemlich sicher nicht gleichmäßig sein, aber für das Ergebnis ist das irrelevant.</t>
        </r>
      </text>
    </comment>
    <comment ref="A26" authorId="0">
      <text>
        <r>
          <rPr>
            <b/>
            <sz val="9"/>
            <color indexed="81"/>
            <rFont val="Tahoma"/>
            <family val="2"/>
          </rPr>
          <t>Michael Schöggl:</t>
        </r>
        <r>
          <rPr>
            <sz val="9"/>
            <color indexed="81"/>
            <rFont val="Tahoma"/>
            <family val="2"/>
          </rPr>
          <t xml:space="preserve">
- Medien können ein monatliches Abo bezahlen, um an Big Data Informationen zu kommen.
- Zu Beginn werden nur wenige Medien dieses Abo verwenden, aber je mehr User wir haben, umso mehr Medien werden in connect vertreten sein und umso mehr Medien werden auch diese verhältnismäßig moderaten Kosten gerne bezahlen, um mehr Informationen über ihre Rezipienten zu erhalten. 
- Diese Informationen helfen den Medien, die Werbeerträge zu steigern, weil sie die gewonnenen Informationen auch ihren Werbepartnern weitergeben können. Somit macht sich ein Abo auf jeden Fall schnell bezahlt.
- Wir würden die Kosten so gestalten, dass sie basierend auf Erfahrungswerten den Medien einen netten Gewinn ermöglichen, wenn sie die User-Daten an die Werbepartner weiterverkaufen. 
- Wir rechnen damit, dass jedem Werbepartner die anonymisierten Daten über jeden erreichten Konsumenten rund 0,5 Cent wert sind (also 500 Euro bei 100.000 erreichten Kunden), wir davon 0,2 Cent verlangen können (0,3 Cent gehen an die Medienpartner und motivieren sie zu diesem "Abo") und dass unsere User im Monat rund 50 Werbungen in connect konsumieren. Das bedeutet Einnahmen in Höhe von rund 10 Cent pro User und Monat langfristig. 
</t>
        </r>
      </text>
    </comment>
    <comment ref="B26" authorId="0">
      <text>
        <r>
          <rPr>
            <b/>
            <sz val="9"/>
            <color indexed="81"/>
            <rFont val="Tahoma"/>
            <family val="2"/>
          </rPr>
          <t xml:space="preserve">Michael Schöggl:
Wieviel € pro Monat und User verdienen wir im Schnitt mit unserem Medien-Abo?
</t>
        </r>
        <r>
          <rPr>
            <u/>
            <sz val="9"/>
            <color indexed="81"/>
            <rFont val="Tahoma"/>
            <family val="2"/>
          </rPr>
          <t xml:space="preserve">
Begründung für diesen Wert</t>
        </r>
        <r>
          <rPr>
            <sz val="9"/>
            <color indexed="81"/>
            <rFont val="Tahoma"/>
            <family val="2"/>
          </rPr>
          <t xml:space="preserve">: </t>
        </r>
        <r>
          <rPr>
            <b/>
            <sz val="9"/>
            <color indexed="81"/>
            <rFont val="Tahoma"/>
            <family val="2"/>
          </rPr>
          <t xml:space="preserve">
</t>
        </r>
        <r>
          <rPr>
            <sz val="9"/>
            <color indexed="81"/>
            <rFont val="Tahoma"/>
            <family val="2"/>
          </rPr>
          <t xml:space="preserve">
- Wir rechnen damit, dass jedem Werbepartner die anonymisierten Daten über jeden erreichten Konsumenten rund 0,5 Cent wert sind (also 500 Euro bei 100.000 erreichten Kunden). 
- Davon sind 0,2 Cent für uns und 0,3 Cent gehen an die Medienpartner und motivieren sie zu Abschluss dieses "Abos".
- Unsere User werden im Monat im Schnitt zwischen 50 (Beginn) und 300 (langfristig) Werbbeiträge in Medien (Video, Audio, Internet, Print) konsumieren. Das bedeutet Einnahmen in Höhe von rund 10 bis 60 Cent pro Monat und User. 
- Für unsere Prognose starten wir vorsichtig mit 0,01 €, weil es eine Zeit dauern wird, bis unsere Medienpartner vom Abo überzeugt sind und es genügend Medien-Inhalte in connect gibt, sodass auch genügend Werbung darin enthalten ist, um diese Werte (50 pro Monat) zu erreichen.</t>
        </r>
      </text>
    </comment>
    <comment ref="C26" authorId="0">
      <text>
        <r>
          <rPr>
            <b/>
            <sz val="9"/>
            <color indexed="81"/>
            <rFont val="Tahoma"/>
            <family val="2"/>
          </rPr>
          <t>Michael Schöggl:</t>
        </r>
        <r>
          <rPr>
            <sz val="9"/>
            <color indexed="81"/>
            <rFont val="Tahoma"/>
            <family val="2"/>
          </rPr>
          <t xml:space="preserve">
</t>
        </r>
        <r>
          <rPr>
            <b/>
            <sz val="9"/>
            <color indexed="81"/>
            <rFont val="Tahoma"/>
            <family val="2"/>
          </rPr>
          <t>Um wieviel € pro Quartal werden sich die monatlichen Einnahmen durch das Medien-Abo erhöhen?</t>
        </r>
        <r>
          <rPr>
            <sz val="9"/>
            <color indexed="81"/>
            <rFont val="Tahoma"/>
            <family val="2"/>
          </rPr>
          <t xml:space="preserve">
</t>
        </r>
        <r>
          <rPr>
            <u/>
            <sz val="9"/>
            <color indexed="81"/>
            <rFont val="Tahoma"/>
            <family val="2"/>
          </rPr>
          <t>Begründung für diesen Wert</t>
        </r>
        <r>
          <rPr>
            <sz val="9"/>
            <color indexed="81"/>
            <rFont val="Tahoma"/>
            <family val="2"/>
          </rPr>
          <t>:
- Wir schätzen hier sehr vorsichtig, auch wenn wir langfristig bis zu 60 Cent pro User und Monat durch diesen Zugang einnehmen könnten. 
- Der Erfolg dieses Geschäftsmodells ist viel stärker, als der unserer anderen Einnahmequellen unsicher und schwer durch Vergleiche mit anderen Produkten abschätzbar. Dass ein Freemium-Modell funktioniert, haben tausende Apps bewiesen, ebenso, dass Product Placement funktionieren wird. Big Data hat zwar auch eine erfolgreiche Geschichte, aber in dieser Zugang über ein Abosystem ist relativ neu. 
- Es ist gut möglich, dass wir über dieses Geschäftsmodell deutlich mehr einnehmen können, als nun prognostiziert, aber es ist ebenso gut möglich, dass der Zugang überhaupt nicht funktioniert. Immerhin ist die Medienschnittstelle grundsätzlich kostenlos und ein optionales Abo mit Extrakosten muss sich erst durchsetzen. Der Mehrwert von Big Data Informationen für die Werbetreibenden zuerst und dann in Folge für die Medienpartner müsste erst bewiesen werden.</t>
        </r>
      </text>
    </comment>
    <comment ref="A27" authorId="0">
      <text>
        <r>
          <rPr>
            <b/>
            <sz val="9"/>
            <color indexed="81"/>
            <rFont val="Tahoma"/>
            <family val="2"/>
          </rPr>
          <t>Michael Schöggl:</t>
        </r>
        <r>
          <rPr>
            <sz val="9"/>
            <color indexed="81"/>
            <rFont val="Tahoma"/>
            <family val="2"/>
          </rPr>
          <t xml:space="preserve">
- Sehr langfristig (geplant ab 2021) können wir in der immer größer werdenden connect-Welt (erweitert durch Inhalte von Partnern, Drittanbietern und später vllt sogar der User selbst) auch virtuelle Grundstücke (z.B. an VR-Shops aber auch an User) verkaufen. 
- Ähnliches hat Second Life gemacht und das Interesse für Businesspartner war größer, als der tatsächliche Nutzen. Daher werden nun Business-Partner durch diese Lektion eher vorsichtig sein und es wird etwas dauern, bis sich dieser Zugang durchsetzt. 
- Wir listen hier dieses Geschäftsmodell auf, um bei sehr optimistischen Prognosen Einnahmen darstellen zu können, 
rechnen in einer realistischen Prognose aber nicht damit (0). 
- Zwischen der ersten Facebook Homepage und dem, was Facebook heute ist, besteht ein riesen Unterschied. Und auch connect wird sich bei Erfolg gewaltig weiterentwickeln und bestimmt längerfristig neue Geschäftsmodelle wie jenes des Verkaufs von virtuellen Grundstücken, bezahlten Teleportationen in einer riesigen Welt oder dem Kauf von Avataren (Spielerfiguren) oder deren Ausrüstung eröffnen. Aber es ist zu gewagt, diese Einnahmen jetzt schon unter der Bezeichnung "realistische Prognose" abzuschätzen.</t>
        </r>
      </text>
    </comment>
    <comment ref="B27" authorId="0">
      <text>
        <r>
          <rPr>
            <b/>
            <sz val="9"/>
            <color indexed="81"/>
            <rFont val="Tahoma"/>
            <family val="2"/>
          </rPr>
          <t>Michael Schöggl:</t>
        </r>
        <r>
          <rPr>
            <sz val="9"/>
            <color indexed="81"/>
            <rFont val="Tahoma"/>
            <family val="2"/>
          </rPr>
          <t xml:space="preserve">
</t>
        </r>
        <r>
          <rPr>
            <b/>
            <sz val="9"/>
            <color indexed="81"/>
            <rFont val="Tahoma"/>
            <family val="2"/>
          </rPr>
          <t>Wieviel € könnten wir langfristig mit dem Verkauf von virtuellen Grundstücken, Avataren, Ausrüstungen oder Teleportationen in einer riesigen VR-Welt verdienen?</t>
        </r>
        <r>
          <rPr>
            <sz val="9"/>
            <color indexed="81"/>
            <rFont val="Tahoma"/>
            <family val="2"/>
          </rPr>
          <t xml:space="preserve">
</t>
        </r>
        <r>
          <rPr>
            <u/>
            <sz val="9"/>
            <color indexed="81"/>
            <rFont val="Tahoma"/>
            <family val="2"/>
          </rPr>
          <t>Begründung für diesen Wert</t>
        </r>
        <r>
          <rPr>
            <sz val="9"/>
            <color indexed="81"/>
            <rFont val="Tahoma"/>
            <family val="2"/>
          </rPr>
          <t xml:space="preserve">:
- Zu viele Voraussetzungen, zeitlich zu weit entfernt, zu viele Unsicherheiten, zu wenig Vergleiche - daher gehen wir für die realistische Prognose von 0 Einnahmen aus. </t>
        </r>
      </text>
    </comment>
    <comment ref="C27" authorId="0">
      <text>
        <r>
          <rPr>
            <b/>
            <sz val="9"/>
            <color indexed="81"/>
            <rFont val="Tahoma"/>
            <family val="2"/>
          </rPr>
          <t>Michael Schöggl:</t>
        </r>
        <r>
          <rPr>
            <sz val="9"/>
            <color indexed="81"/>
            <rFont val="Tahoma"/>
            <family val="2"/>
          </rPr>
          <t xml:space="preserve">
</t>
        </r>
        <r>
          <rPr>
            <b/>
            <sz val="9"/>
            <color indexed="81"/>
            <rFont val="Tahoma"/>
            <family val="2"/>
          </rPr>
          <t>Um wieviel € pro Quartal könnten sich die Einnahmen durch den Verkauf von virtuellen Grundstücken, Avataren, Ausrüstungen oder Teleportationen in einer riesigen VR-Welt erhöhen?</t>
        </r>
        <r>
          <rPr>
            <sz val="9"/>
            <color indexed="81"/>
            <rFont val="Tahoma"/>
            <family val="2"/>
          </rPr>
          <t xml:space="preserve">
</t>
        </r>
        <r>
          <rPr>
            <u/>
            <sz val="9"/>
            <color indexed="81"/>
            <rFont val="Tahoma"/>
            <family val="2"/>
          </rPr>
          <t>Begründung für diesen Wert</t>
        </r>
        <r>
          <rPr>
            <sz val="9"/>
            <color indexed="81"/>
            <rFont val="Tahoma"/>
            <family val="2"/>
          </rPr>
          <t xml:space="preserve">:
- Zu viele Annahmen, zeitlich zu weit entfernt, zu viele Unsicherheiten, zu wenig Vergleiche - daher gehen wir für die realistische Prognose von 0 Einnahmen aus. </t>
        </r>
      </text>
    </comment>
    <comment ref="A28" authorId="0">
      <text>
        <r>
          <rPr>
            <b/>
            <sz val="9"/>
            <color indexed="81"/>
            <rFont val="Tahoma"/>
            <family val="2"/>
          </rPr>
          <t>Michael Schöggl:</t>
        </r>
        <r>
          <rPr>
            <sz val="9"/>
            <color indexed="81"/>
            <rFont val="Tahoma"/>
            <family val="2"/>
          </rPr>
          <t xml:space="preserve">
- User werden ab ca. 2022 die Möglichkeit haben, eigene Medien "zu verlegen". Es können sich Gruppen bilden, die gemeinsam einen Fernseh- oder Radiokanal "bespielen", es wird die Möglichkeit geben, themenspezifische Artikel zu schreiben, die dann in virtuellen Zeitungen veröffentlicht werden, etc. 
- Wir überlasses es komplett dem freien Markt, welche neuen Medien mit welchen Inhalten oder Mitarbeitern und welchen Regeln (unentgeltlich, bezahlt, etc.) entstehen. Wir werden einen Baukasten anbieten, damit alle Einstellungen möglich sind - von Bezahlung pro Artikel bis hin zu Systemen, bei denen jeder Medienmitarbeiter abhängig von der Reichweite, Beliebtheit oder Bewertung seiner Beiträge einen Anteil der Werbeeinnahmen erhält.
- Nicht nur, aber vor allem in Video-Medien (Fernsehsender, Videoblog, etc.) werden unsere User bei Interesse Werbung schalten können und damit Geld verdienen können (vgl. YouTube, nur nicht als One-Man-Show, sondern als freies Unternehmen mit automatisierten Regeln). 
- Wir würden einen Anteil der Werbeeinnahmen in Höhe von ca. 30% verlangen. Eventuell sogar deutlich mehr, wie bei YouTube, wo keine/wenig Transparenz herrscht, aber die YouTuber bestimmt deutlich weniger als 70% erhalten. 
- Vergleiche mit YouTube und Co zeigen, dass wir bei starkem Interesse an diesen "frei gewachsenen Medien" auch rund 0,3 bis 2 Euro pro User und Monat einnehmen könnten, aber dieses Geschäftsmodell ist zu weit von der Realisierung entfernt, um in der realistischen Prognose Einnahmen zu erwarten.</t>
        </r>
      </text>
    </comment>
    <comment ref="B28" authorId="0">
      <text>
        <r>
          <rPr>
            <b/>
            <sz val="9"/>
            <color indexed="81"/>
            <rFont val="Tahoma"/>
            <family val="2"/>
          </rPr>
          <t>Michael Schöggl:</t>
        </r>
        <r>
          <rPr>
            <sz val="9"/>
            <color indexed="81"/>
            <rFont val="Tahoma"/>
            <family val="2"/>
          </rPr>
          <t xml:space="preserve">
</t>
        </r>
        <r>
          <rPr>
            <b/>
            <sz val="9"/>
            <color indexed="81"/>
            <rFont val="Tahoma"/>
            <family val="2"/>
          </rPr>
          <t xml:space="preserve">
Wieviel € pro User nehmen wir im Monat durch einen Anteil der Werbeeinnahmen der usergenerierten Medien ein?</t>
        </r>
        <r>
          <rPr>
            <sz val="9"/>
            <color indexed="81"/>
            <rFont val="Tahoma"/>
            <family val="2"/>
          </rPr>
          <t xml:space="preserve">
</t>
        </r>
        <r>
          <rPr>
            <u/>
            <sz val="9"/>
            <color indexed="81"/>
            <rFont val="Tahoma"/>
            <family val="2"/>
          </rPr>
          <t>Begründung für diesen Wert</t>
        </r>
        <r>
          <rPr>
            <sz val="9"/>
            <color indexed="81"/>
            <rFont val="Tahoma"/>
            <family val="2"/>
          </rPr>
          <t>:
- Dieses Geschäftsmodell (vergleichbar mit YouTube bzw. Twitch, nur erweitert auf Audio, Print, Internet, VR und erweitert um ganze Unternehmenstrukturen statt Einzel-Accounts) ist noch zu weit von der Realisierung entfernt (ab 2022), daher gehen wir aktuell von 0 Einnahmen aus.</t>
        </r>
      </text>
    </comment>
    <comment ref="C28" authorId="0">
      <text>
        <r>
          <rPr>
            <b/>
            <sz val="9"/>
            <color indexed="81"/>
            <rFont val="Tahoma"/>
            <family val="2"/>
          </rPr>
          <t>Michael Schöggl:</t>
        </r>
        <r>
          <rPr>
            <sz val="9"/>
            <color indexed="81"/>
            <rFont val="Tahoma"/>
            <family val="2"/>
          </rPr>
          <t xml:space="preserve">
</t>
        </r>
        <r>
          <rPr>
            <b/>
            <sz val="9"/>
            <color indexed="81"/>
            <rFont val="Tahoma"/>
            <family val="2"/>
          </rPr>
          <t>Um wieviel € pro Quartal wird sich der Anteil an den monatlichen Werbeeinnahmen durch usergenerierte Medien erhöhen?</t>
        </r>
        <r>
          <rPr>
            <sz val="9"/>
            <color indexed="81"/>
            <rFont val="Tahoma"/>
            <family val="2"/>
          </rPr>
          <t xml:space="preserve">
</t>
        </r>
        <r>
          <rPr>
            <u/>
            <sz val="9"/>
            <color indexed="81"/>
            <rFont val="Tahoma"/>
            <family val="2"/>
          </rPr>
          <t>Begründung für diesen Wert</t>
        </r>
        <r>
          <rPr>
            <sz val="9"/>
            <color indexed="81"/>
            <rFont val="Tahoma"/>
            <family val="2"/>
          </rPr>
          <t>:
- Dieses Geschäftsmodell (vergleichbar mit YouTube bzw. Twitch, nur erweitert auf Audio, Print, Internet, VR und erweitert um ganze Unternehmenstrukturen statt Einzel-Accounts) ist noch zu weit von der Realisierung entfernt (ab 2022), daher gehen wir aktuell von 0 Einnahmen aus.</t>
        </r>
      </text>
    </comment>
    <comment ref="A29" authorId="0">
      <text>
        <r>
          <rPr>
            <b/>
            <sz val="9"/>
            <color indexed="81"/>
            <rFont val="Tahoma"/>
            <family val="2"/>
          </rPr>
          <t>Michael Schöggl:</t>
        </r>
        <r>
          <rPr>
            <sz val="9"/>
            <color indexed="81"/>
            <rFont val="Tahoma"/>
            <family val="2"/>
          </rPr>
          <t xml:space="preserve">
- Wir haben die Möglichkeit, z.B. Product Placement Partnern anzubieten, dass diese für eine einmalige Pauschale für einen gewissen Zeitraum oder eine konkret festgelegte Werbeleistung ihre Product Placement Werbung kostenlos erhalten. 
- Für die Unternehmen würde sich das eventuell lohnen, weil sie so - durch ihren Vertrauensvorschuss in unsere Leistung - ein deutlich günstigeres, besseres Angebot erhalten könnten, als andere Partner. 
- Für uns würden diese höheren Einnahmen die Basis für mehr Werbekapital und dadurch mehr Wachstum bieten und sich insofern auch lohnen, auch wenn wir langfristig rein durch die Product Placement Gebühr weniger einnehmen sollten. Sobald wir genügend User haben, dass das Vertrauen in unsere Plattform vorhanden ist, wäre dieser Zugang eine gute Lösung um schnell Einnahmen zu generieren, wenn dies aus irgendwelchen Gründen Sinn macht bzw. wir schnell Kapital benötigen. 
- Diese Zeile gilt auch für Einnahmen durch einmalige Werbeaktionen (z.B. Flyer am virtuellen Schreibtisch, Spiderman schwingt durch die virtuelle Stadt und klatscht gegen das Fenster, Trailer von Filmen am virtuellen Fernseher anzeigen, etc.).
- Wir haben hier keinen Wert eingesetzt, beim Eintragen eines Wertes bitte beachten, dass dieser ausnahmsweise für das gesamte Quartal und nicht für jeden Monat gilt. </t>
        </r>
      </text>
    </comment>
    <comment ref="B29" authorId="0">
      <text>
        <r>
          <rPr>
            <b/>
            <sz val="9"/>
            <color indexed="81"/>
            <rFont val="Tahoma"/>
            <family val="2"/>
          </rPr>
          <t xml:space="preserve">Michael Schöggl:
</t>
        </r>
        <r>
          <rPr>
            <sz val="9"/>
            <color indexed="81"/>
            <rFont val="Tahoma"/>
            <family val="2"/>
          </rPr>
          <t xml:space="preserve">
Bitte die einmaligen Einnahmen durch Partner nur jeweils in der entsprechenden Spalte für die Schätzwerte des jeweiligen Quartals eintragen. Der eingetragene Wert gilt dann für das gesamte Quartal und nicht monatlich.</t>
        </r>
      </text>
    </comment>
    <comment ref="D29" authorId="0">
      <text>
        <r>
          <rPr>
            <b/>
            <sz val="9"/>
            <color indexed="81"/>
            <rFont val="Tahoma"/>
            <family val="2"/>
          </rPr>
          <t xml:space="preserve">Michael Schöggl:
</t>
        </r>
        <r>
          <rPr>
            <sz val="9"/>
            <color indexed="81"/>
            <rFont val="Tahoma"/>
            <family val="2"/>
          </rPr>
          <t xml:space="preserve">
Bitte die einmaligen Einnahmen durch Partner nur jeweils in der entsprechenden Spalte für die Schätzwerte des jeweiligen Quartals eintragen. Der eingetragene Wert gilt dann für das gesamte Quartal und nicht monatlich.</t>
        </r>
      </text>
    </comment>
    <comment ref="A30" authorId="0">
      <text>
        <r>
          <rPr>
            <b/>
            <sz val="9"/>
            <color indexed="81"/>
            <rFont val="Tahoma"/>
            <family val="2"/>
          </rPr>
          <t>Michael Schöggl:</t>
        </r>
        <r>
          <rPr>
            <sz val="9"/>
            <color indexed="81"/>
            <rFont val="Tahoma"/>
            <family val="2"/>
          </rPr>
          <t xml:space="preserve">
Achtung: Bei den Schätzwerten wurden hier die Summen der jeweiligen </t>
        </r>
        <r>
          <rPr>
            <u/>
            <sz val="9"/>
            <color indexed="81"/>
            <rFont val="Tahoma"/>
            <family val="2"/>
          </rPr>
          <t>Quartale</t>
        </r>
        <r>
          <rPr>
            <sz val="9"/>
            <color indexed="81"/>
            <rFont val="Tahoma"/>
            <family val="2"/>
          </rPr>
          <t xml:space="preserve"> angegeben, auch wenn in den Zeilen darüber die Werte pro Monat stehen!
Allgemein gilt: Die Summenwerte mit dunklerem Hintergrund beziehen sich auf die Quartale, die Werte auf hellerem Hintergrund auf die Monate.</t>
        </r>
      </text>
    </comment>
    <comment ref="A32" authorId="0">
      <text>
        <r>
          <rPr>
            <b/>
            <sz val="9"/>
            <color indexed="81"/>
            <rFont val="Tahoma"/>
            <family val="2"/>
          </rPr>
          <t>Michael Schöggl:</t>
        </r>
        <r>
          <rPr>
            <sz val="9"/>
            <color indexed="81"/>
            <rFont val="Tahoma"/>
            <family val="2"/>
          </rPr>
          <t xml:space="preserve">
- Die Schätzung der Kosten ist in manchen Bereichen vermutlich deutlich zu hoch, aber das soll uns einen Sicherheitsspielraum in der Prognose gegeben und nicht so missverstanden werden, dass wir nicht sparsam wirtschaften wollen. 
- Je nach Erfolg (primär gemessen durch die Unterschiede zwischen Realität und Prognose) werden wir bei einer schlechten Entwicklung bei den Ausgaben größere Einsparungen vornehmen, schließlich haben wir beinahe nur Personalkosten, bzw. allgemein sehr flexible Kosten, die mit dem Personal zusammenhängen. 
- Im Worst Case Szenario könnten wir mit weniger als 10.000 € pro Monat "überleben" und die Zeit mit der eigenen, kaum bezahlten Arbeit ausharren, bis unsere Userzahlen und damit auch die Einnahmen entsprechend ansteigen. Wirklich notwendig sind nur die Kosten für einen Software-Entwickler, die Server-Kosten (rund 300 € pro Monat) und die Lebenserhaltungskosten für den Geschäftsführer.
- Im positiven Fall hingegen könnten wir die Ausgaben so stark durch neue Personalkosten anheben, dass wir knapp keine Gewinne machen, damit Steuern sparen und unseren Konkurrenzvorsprung noch stärker ausbauen. Wenn sich abzeichnet, dass jeder neue User deutlich mehr Geld einbringt, als er kostet, wird es vermutlich Sinn machen, auf frühe Gewinne zu verzichten, um weitere Geschäftsmodelle früher aufzubauen, den Markt zu erobern und den Abstand zur Konkurrenz zu vergrößern. Mit mehr Ausgaben können auch mehr In-App-Inhalte geschaffen, oder durch (mehr) Sales-Mitarbeiter mehr Partner oder Medien akquiriert werden, was sehr rasch deutlich mehr bringen würde, als es gekostet hat. 
- Daher - sowohl was positive, als auch negative Entwicklungen betrifft - sind die Ausgaben pro Monat nur als grober Richtwert zu verstehen. Eine Umsatzprognose soll nur eine Hilfestellung sein, aber nicht davon abhalten, je nach Bedarf und Entwicklung flexibel auf die Situation eingehen zu können, um die bestmöglichen Ergebnisse zu erzielen. Durch die einfache Anpassbarkeit der Werte in diesem Spritesheet lassen sich sehr einfach verschiedene Szenarien durchspielen, sobald wir mehr konkrete, reale Werte gemessen haben. Gerade auch was Werbeausgaben betrifft (siehe 3.13 und 3.14) hängt die beste Strategie eindeutig davon ab, wie viel uns jeder neue User kostet (3.12) und wieviel Einnahmen wir mit ihm generieren. Ein schneller Start kann von unvergleichlicher Bedeutung für den Erfolg des Unternehmens sein.</t>
        </r>
      </text>
    </comment>
    <comment ref="A33" authorId="0">
      <text>
        <r>
          <rPr>
            <b/>
            <sz val="9"/>
            <color indexed="81"/>
            <rFont val="Tahoma"/>
            <family val="2"/>
          </rPr>
          <t xml:space="preserve">Michael Schöggl:
</t>
        </r>
        <r>
          <rPr>
            <sz val="9"/>
            <color indexed="81"/>
            <rFont val="Tahoma"/>
            <family val="2"/>
          </rPr>
          <t xml:space="preserve">
- Die Anlageinvestitionen (Büroeinrichtung, EDV, etc.) wurden mit 4%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3" authorId="0">
      <text>
        <r>
          <rPr>
            <b/>
            <sz val="9"/>
            <color indexed="81"/>
            <rFont val="Tahoma"/>
            <family val="2"/>
          </rPr>
          <t xml:space="preserve">Michael Schöggl:
</t>
        </r>
        <r>
          <rPr>
            <sz val="9"/>
            <color indexed="81"/>
            <rFont val="Tahoma"/>
            <family val="2"/>
          </rPr>
          <t xml:space="preserve">
</t>
        </r>
        <r>
          <rPr>
            <b/>
            <sz val="9"/>
            <color indexed="81"/>
            <rFont val="Tahoma"/>
            <family val="2"/>
          </rPr>
          <t>Wie hoch sind die monatlichen Mindestkosten für Anlageinvestitionen?</t>
        </r>
        <r>
          <rPr>
            <sz val="9"/>
            <color indexed="81"/>
            <rFont val="Tahoma"/>
            <family val="2"/>
          </rPr>
          <t xml:space="preserve">
</t>
        </r>
        <r>
          <rPr>
            <u/>
            <sz val="9"/>
            <color indexed="81"/>
            <rFont val="Tahoma"/>
            <family val="2"/>
          </rPr>
          <t>Begründung für diesen Wert</t>
        </r>
        <r>
          <rPr>
            <sz val="9"/>
            <color indexed="81"/>
            <rFont val="Tahoma"/>
            <family val="2"/>
          </rPr>
          <t>:
- Hier haben wir keinen Wert eingetragen, bisher haben sich 3-4% der Personalkosten sehr gut bewehrt. Die Kosten pro Mitarbeiter für einen Arbeitsplatz lagen bei günstigen 1500 €, diese Kosten würden zwar steigen, aber gleichzeitig auch die Gehälter, weshalb sich das wieder ausgleicht. 
Längerfristig wird es bei Erfolg natürlich Sinn machen, ein eigenes Büro zu bauen/kaufen, diese Kosten sind hier nicht berücksichtigt, u.a. auch, weil es dabei um Abschreibposten mit einem bleibenden Verkaufswert handeln würde, die am Ende auch nicht (viel) teurer kommen, als Miete. 
Die Kosten in den Spalten rechts sind monatlich, auf ein Jahr gerechnet werden sie realistisch.</t>
        </r>
      </text>
    </comment>
    <comment ref="C33" authorId="0">
      <text>
        <r>
          <rPr>
            <b/>
            <sz val="9"/>
            <color indexed="81"/>
            <rFont val="Tahoma"/>
            <family val="2"/>
          </rPr>
          <t>Michael Schöggl:</t>
        </r>
        <r>
          <rPr>
            <sz val="9"/>
            <color indexed="81"/>
            <rFont val="Tahoma"/>
            <family val="2"/>
          </rPr>
          <t xml:space="preserve">
</t>
        </r>
        <r>
          <rPr>
            <b/>
            <sz val="9"/>
            <color indexed="81"/>
            <rFont val="Tahoma"/>
            <family val="2"/>
          </rPr>
          <t>Wieviel Prozent der Personalkosten sind für Anlageinvestitionen geplant?</t>
        </r>
        <r>
          <rPr>
            <sz val="9"/>
            <color indexed="81"/>
            <rFont val="Tahoma"/>
            <family val="2"/>
          </rPr>
          <t xml:space="preserve">
</t>
        </r>
        <r>
          <rPr>
            <u/>
            <sz val="9"/>
            <color indexed="81"/>
            <rFont val="Tahoma"/>
            <family val="2"/>
          </rPr>
          <t>Begründung für diesen Wert</t>
        </r>
        <r>
          <rPr>
            <sz val="9"/>
            <color indexed="81"/>
            <rFont val="Tahoma"/>
            <family val="2"/>
          </rPr>
          <t>:
- Aufgrund bisherigen Erfahrungswerte gehen wir von rund 4 % der Personalkosten für Anlageinvestitionen aus (ca. 1500 € bisher pro Arbeitsplatz für Möbel, PC, Monitor, etc.).
- Wenn connect erfolgreich genug ist, wird es irgendwann Sinn machen, ein eigenes Büro zu kaufen oder zu bauen. Aber dann müssten die entsprechenden Werte händisch rechts eingetragen werden, sofern sie nicht als Abschreibung innerhalb der x % pro Personalkosten bleiben.</t>
        </r>
      </text>
    </comment>
    <comment ref="A34" authorId="0">
      <text>
        <r>
          <rPr>
            <b/>
            <sz val="9"/>
            <color indexed="81"/>
            <rFont val="Tahoma"/>
            <family val="2"/>
          </rPr>
          <t>Michael Schöggl:</t>
        </r>
        <r>
          <rPr>
            <sz val="9"/>
            <color indexed="81"/>
            <rFont val="Tahoma"/>
            <family val="2"/>
          </rPr>
          <t xml:space="preserve">
Die Personal- und Outsourcingkosten sind absolut flexibel. Wir könnten auch mit einem Team aus 1,5 Mitarbeitern (1 Senior Developer und 1 Teilzeit-Grafiker) unsere App instandhalten und langsam weiterentwickeln (Kosten: ca. 8.000 € monatlich).
Natürlich macht es aber Sinn, bei positiver wirtschaftlicher Entwicklung das Tempo voranzutreiben, vor allem, wenn jeder neue Mitarbeiter mehr Geld einbringt, als er an Kosten verursacht (z.B. Sales-Mitarbeiter, die lukrative B2B-Partner gewinnen). 
Die hier veranschlagten Personal- und Outsourcing-Kosten richten sich im 1. und 2. Quartal 2020 daran, dass sich connect wie geplant bis Mitte 2020 fertigstellen lässt (rund 30.000 € pro Monat). 
Ab Quartal 3 2020 könnten die Personal- und Outsourcingkosten (bei Bedarf) wieder reduziert werden, bei positiver Entwicklung jedoch würden wir sie konstant um x Prozent der Einnahmen anheben, um unseren Wettbewerbsvorteil zu verteidigen und connect rasch zu verbessern.
Mehr Einnahmen bedeuten in unserem Fall zudem mehr User bzw. B2B-Partner und insofern auch höhere Personal-Kosten für z.B. Support oder Sales. Wir wollen zwar möglichst alle Prozesse automatisieren, aber es macht natürlich Sinn, trotzdem mehr Geld in die Entwicklung zu stecken, wenn der wirtschaftliche Erfolg erkennbar wird. Darum wurden in der Prognose die Personalkosten ab 2021 auch direkt von den Einnahmen abhängig gemacht.</t>
        </r>
      </text>
    </comment>
    <comment ref="B34" authorId="0">
      <text>
        <r>
          <rPr>
            <b/>
            <sz val="9"/>
            <color indexed="81"/>
            <rFont val="Tahoma"/>
            <family val="2"/>
          </rPr>
          <t>Michael Schöggl:</t>
        </r>
        <r>
          <rPr>
            <sz val="9"/>
            <color indexed="81"/>
            <rFont val="Tahoma"/>
            <family val="2"/>
          </rPr>
          <t xml:space="preserve">
</t>
        </r>
        <r>
          <rPr>
            <b/>
            <sz val="9"/>
            <color indexed="81"/>
            <rFont val="Tahoma"/>
            <family val="2"/>
          </rPr>
          <t xml:space="preserve">Um wieviel Prozent der Einnahmen steigen die Personalkosten gegenüber dem Vormonat? 
</t>
        </r>
        <r>
          <rPr>
            <u/>
            <sz val="9"/>
            <color indexed="81"/>
            <rFont val="Tahoma"/>
            <family val="2"/>
          </rPr>
          <t>Begründung für diesen Wert</t>
        </r>
        <r>
          <rPr>
            <sz val="9"/>
            <color indexed="81"/>
            <rFont val="Tahoma"/>
            <family val="2"/>
          </rPr>
          <t>:
- connect könnte mit gleichbleibenden 20.000 € pro Monat an Personalkosten (oder sogar weniger) weiterentwickelt werden. Wir sind bezüglich Personalkosten äußerst flexibel. Selbst sehr erfolgreiche Apps wie WhatsApp hatten jahrelang nur eine Handvoll Mitarbeiter.
- Weil wir aber im Gegensatz zu z.B. WhatsApp sehr schnell Einnahmen haben werden, unseren Wettbewerbsvorteil verteidigen müssen und connect kontinuierlich weiterentwickeln wollen, rechnen wir mit 10% aller Einnahmen an zusätzlichen Personalkosten. Dieser Werte kann beliebig angepasst werden, je nachdem, wie rasch wir connect weiterentwickeln wollen. Zur Leistung unserer Angestellten kommen noch die Leistungen unserer Outsourcing-Partner (siehe 3.11) dazu. 
- Die Berechnung der Personalkosten prozentual zu den Einnahmen erlaubt uns finanzielle Entscheidungen ohne großes Risiko. 
- Auch die Werbekosten und die Outsourcing-Kosten werden prozentual gerechnet, ebenso indirekt Anlageinvestitionen, Material und Betriebsausgaben. Die prozentualen Ausgaben sollen dauerhaft unter den Einnahmen bleiben. Bei den Einnahmen erwarten wir (bis auf übliche jahreszeitabhängige Schwankungen) wenig Fluktuationen bzw. Überraschungen, weil sich durch die Masse der User Zufallseffekte weitestgehend "raus-mitteln". Übrig bleiben primär systematische Fehler, wenn wir es z.B. verabsäumen, neue, attraktive In-App-Käufe nachzuliefern und diese Wahrnehmung von den meisten Usern gleichermaßen geteilt wird.</t>
        </r>
      </text>
    </comment>
    <comment ref="C34" authorId="0">
      <text>
        <r>
          <rPr>
            <b/>
            <sz val="9"/>
            <color indexed="81"/>
            <rFont val="Tahoma"/>
            <family val="2"/>
          </rPr>
          <t>Michael Schöggl:</t>
        </r>
        <r>
          <rPr>
            <sz val="9"/>
            <color indexed="81"/>
            <rFont val="Tahoma"/>
            <family val="2"/>
          </rPr>
          <t xml:space="preserve">
</t>
        </r>
        <r>
          <rPr>
            <b/>
            <sz val="9"/>
            <color indexed="81"/>
            <rFont val="Tahoma"/>
            <family val="2"/>
          </rPr>
          <t xml:space="preserve">Um wieviel Prozent pro Quartal werden die prozentualen Personalsausgaben reduziert? </t>
        </r>
        <r>
          <rPr>
            <sz val="9"/>
            <color indexed="81"/>
            <rFont val="Tahoma"/>
            <family val="2"/>
          </rPr>
          <t xml:space="preserve">
</t>
        </r>
        <r>
          <rPr>
            <u/>
            <sz val="9"/>
            <color indexed="81"/>
            <rFont val="Tahoma"/>
            <family val="2"/>
          </rPr>
          <t>Begründung für diesen Wert</t>
        </r>
        <r>
          <rPr>
            <sz val="9"/>
            <color indexed="81"/>
            <rFont val="Tahoma"/>
            <family val="2"/>
          </rPr>
          <t>:
- Wenn sich connect gut entwickelt, ist es unrealistisch, dass unsere Personalausgaben dauerhaft an x % der Einnahmen angepasst werden. Unsere Ausnahmen müssen/sollen nicht direkt proportional zu den Einnahmen mitsteigen, weil die Entwicklungskosten nicht automatisch höher werden, nur, weil mehr User unsere Entwicklung verwenden. 
- Im Gegensatz zu Facebook und Co wollen wir beim Personal eher klein bleiben und a.) möglichst viel automatisieren, b.) Funktionen, die hohe Kosten durch z.B. Support benötigen, gar nicht erst anbieten, sondern diese c.) unseren Partnern überlassen. 
- Neue Inhalte sollen langfristig primär von unseren Partnern kommen, während wir mit Provision daran mitverdienen. Wir kümmern uns vorrangig um die "Schnittstelle", bzw. die Basisfunktionen, die weniger kosteneffizienten Entwicklungen (wie z.B. aufwendige Inhalte, die nur einmal schnell "durchgespielt" werden), überlassen wir unseren Partnern. 
- Je besser unser Netzwerk ist (Fokus liegt darauf!), umso mehr Partner-Inhalte bekommen wir - und wenn wir das gut machen, besser, als die Konkurrenz, dann wachsen unsere Inhalte durch Partner schneller, als wenn wir sie selbst entwickeln würden. 
- Dieser Zugang ist kostensparend, darum ist davon auszugehen, dass die prozentualen Ausgaben von unseren Einnahmen für das Personal im Laufe der Quartale um den Faktor x sinken werden. Der Großteil des Personals wird wohl aus Evangelisten, Sales- und Service-Mitarbeitern bestehen, aber auch hier wollen wir durch ChatBots, KI, etc. so viel wie möglich automatisieren.</t>
        </r>
      </text>
    </comment>
    <comment ref="A35" authorId="0">
      <text>
        <r>
          <rPr>
            <b/>
            <sz val="9"/>
            <color indexed="81"/>
            <rFont val="Tahoma"/>
            <family val="2"/>
          </rPr>
          <t xml:space="preserve">Michael Schöggl:
</t>
        </r>
        <r>
          <rPr>
            <sz val="9"/>
            <color indexed="81"/>
            <rFont val="Tahoma"/>
            <family val="2"/>
          </rPr>
          <t xml:space="preserve">
- Die Kosten für Material und Waren (z.B. Druckerpapier, Instandhaltung, Büroartikel, etc.) wurden mit 1%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5" authorId="0">
      <text>
        <r>
          <rPr>
            <b/>
            <sz val="9"/>
            <color indexed="81"/>
            <rFont val="Tahoma"/>
            <family val="2"/>
          </rPr>
          <t>Michael Schöggl:</t>
        </r>
        <r>
          <rPr>
            <sz val="9"/>
            <color indexed="81"/>
            <rFont val="Tahoma"/>
            <family val="2"/>
          </rPr>
          <t xml:space="preserve">
</t>
        </r>
        <r>
          <rPr>
            <b/>
            <sz val="9"/>
            <color indexed="81"/>
            <rFont val="Tahoma"/>
            <family val="2"/>
          </rPr>
          <t xml:space="preserve">
Wieviel € pro Monat haben wir an Fixkosten für Material und Waren, unabhängig von der Größe des Teams?</t>
        </r>
        <r>
          <rPr>
            <sz val="9"/>
            <color indexed="81"/>
            <rFont val="Tahoma"/>
            <family val="2"/>
          </rPr>
          <t xml:space="preserve">
</t>
        </r>
        <r>
          <rPr>
            <u/>
            <sz val="9"/>
            <color indexed="81"/>
            <rFont val="Tahoma"/>
            <family val="2"/>
          </rPr>
          <t xml:space="preserve">
Begründung für diesen Wert</t>
        </r>
        <r>
          <rPr>
            <sz val="9"/>
            <color indexed="81"/>
            <rFont val="Tahoma"/>
            <family val="2"/>
          </rPr>
          <t>:
- Wir berechnen die Kosten für Material und Waren (z.B. Bürobedarf) nur relativ zum Personal, da dies einfacher ist und es keine (relevanten) Fixkosten gibt. Allgemein sind diese Werte alle viel zu niedrig, alsdass sich eine nähere Betrachtung lohnen würde.</t>
        </r>
      </text>
    </comment>
    <comment ref="C35" authorId="0">
      <text>
        <r>
          <rPr>
            <b/>
            <sz val="9"/>
            <color indexed="81"/>
            <rFont val="Tahoma"/>
            <family val="2"/>
          </rPr>
          <t>Michael Schöggl:</t>
        </r>
        <r>
          <rPr>
            <sz val="9"/>
            <color indexed="81"/>
            <rFont val="Tahoma"/>
            <family val="2"/>
          </rPr>
          <t xml:space="preserve">
</t>
        </r>
        <r>
          <rPr>
            <b/>
            <sz val="9"/>
            <color indexed="81"/>
            <rFont val="Tahoma"/>
            <family val="2"/>
          </rPr>
          <t>Wieviel Prozent der Personalkosten werden pro Monat für Material und Waren benötigt?</t>
        </r>
        <r>
          <rPr>
            <sz val="9"/>
            <color indexed="81"/>
            <rFont val="Tahoma"/>
            <family val="2"/>
          </rPr>
          <t xml:space="preserve">
</t>
        </r>
        <r>
          <rPr>
            <u/>
            <sz val="9"/>
            <color indexed="81"/>
            <rFont val="Tahoma"/>
            <family val="2"/>
          </rPr>
          <t>Begründung für diesen Wert</t>
        </r>
        <r>
          <rPr>
            <sz val="9"/>
            <color indexed="81"/>
            <rFont val="Tahoma"/>
            <family val="2"/>
          </rPr>
          <t>:
Aufgrund bisherigen Erfahrungswerte gehen wir von rund 1 % der Personalkosten für Büromaterial und kleinere Ausgaben (z.B. Papier, Post, Reinigungsmittel, etc.) aus.</t>
        </r>
      </text>
    </comment>
    <comment ref="A36" authorId="0">
      <text>
        <r>
          <rPr>
            <b/>
            <sz val="9"/>
            <color indexed="81"/>
            <rFont val="Tahoma"/>
            <family val="2"/>
          </rPr>
          <t xml:space="preserve">Michael Schöggl:
</t>
        </r>
        <r>
          <rPr>
            <sz val="9"/>
            <color indexed="81"/>
            <rFont val="Tahoma"/>
            <family val="2"/>
          </rPr>
          <t xml:space="preserve">
- Die Betriebsausgaben (Miete, Strom, Internet, etc.) wurden mit 6%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6" authorId="0">
      <text>
        <r>
          <rPr>
            <b/>
            <sz val="9"/>
            <color indexed="81"/>
            <rFont val="Tahoma"/>
            <family val="2"/>
          </rPr>
          <t>Michael Schöggl:</t>
        </r>
        <r>
          <rPr>
            <sz val="9"/>
            <color indexed="81"/>
            <rFont val="Tahoma"/>
            <family val="2"/>
          </rPr>
          <t xml:space="preserve">
</t>
        </r>
        <r>
          <rPr>
            <b/>
            <sz val="9"/>
            <color indexed="81"/>
            <rFont val="Tahoma"/>
            <family val="2"/>
          </rPr>
          <t>Wieviel € pro Monat haben wir an Fixkosten für Betriebsausgaben, unabhängig von der Größe des Teams?</t>
        </r>
        <r>
          <rPr>
            <sz val="9"/>
            <color indexed="81"/>
            <rFont val="Tahoma"/>
            <family val="2"/>
          </rPr>
          <t xml:space="preserve">
</t>
        </r>
        <r>
          <rPr>
            <u/>
            <sz val="9"/>
            <color indexed="81"/>
            <rFont val="Tahoma"/>
            <family val="2"/>
          </rPr>
          <t>Begründung für diesen Wert</t>
        </r>
        <r>
          <rPr>
            <sz val="9"/>
            <color indexed="81"/>
            <rFont val="Tahoma"/>
            <family val="2"/>
          </rPr>
          <t xml:space="preserve">:
- Im Moment haben wir aufgerundet ca. 1500 € an Betriebskosten, die wir nicht sofort reduzieren können, sondern erst nach Kündigung (z.B. für Miete, Strom, Internet, Lizenzen und ähnliches). Diese Fixkosten würden sich auch nihilieren lassen, aber es würde bis zu 3 Monate dauern. </t>
        </r>
      </text>
    </comment>
    <comment ref="C36" authorId="0">
      <text>
        <r>
          <rPr>
            <b/>
            <sz val="9"/>
            <color indexed="81"/>
            <rFont val="Tahoma"/>
            <family val="2"/>
          </rPr>
          <t xml:space="preserve">Michael Schöggl:
Wieviel Prozent der Personalkosten werden pro Monat für Betriebsausgaben benötigt?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Aufgrund bisherigen Erfahrungswerte gehen wir von rund 6% der Personalkosten für Betriebsausgaben wie z.B. Miete, Strom, Internet, Lizenzen etc. aus.
- So wie die meisten anderen Kosten ist dieser Wert tendenziell zu hoch eingeschätzt, um bei der Prognose genügend Platz für unbedachte Kosten offen zu halten. 4% wären im sparsamen Fall ebenso realistisch möglich (z.B. Team aus 10 Leuten mit 50.000 € monatlichen Personalkosten in einem Büro zu 1000 € mit 1000 € an weiteren Betriebskosten für Strom, Internet, etc. = 4%).</t>
        </r>
      </text>
    </comment>
    <comment ref="A37" authorId="0">
      <text>
        <r>
          <rPr>
            <b/>
            <sz val="9"/>
            <color indexed="81"/>
            <rFont val="Tahoma"/>
            <family val="2"/>
          </rPr>
          <t>Michael Schöggl:</t>
        </r>
        <r>
          <rPr>
            <sz val="9"/>
            <color indexed="81"/>
            <rFont val="Tahoma"/>
            <family val="2"/>
          </rPr>
          <t xml:space="preserve">
- Für In-App-Einkäufe über den Google Play Store und ab Mitte 2020 auch über den App Store (Apple) fallen Transaktionsgebühren an.
- Diese Gebühren beinhalten bereits alle Nebenkosten, die durch Bankspesen, Zahlungsverkehr etc. entstehen. 
- Zu Beginn macht es Sinn, Einkäufe über den App-Store abzuwickeln, selbst wenn die Gebühren höher sind, als ein eigener Zugang (z.B. der Kauf von Punkten auf der Homepage, die dann in der App eingelöst werden können). 
- Warum? Weil deutlich mehr Menschen einkaufen werden, wenn der Einkauf ganz einfach und gewohnt über den App-Store abgewickelt wird, wo die Bezahlmethode bereits hinterlegt ist, als über unsere eigene Lösung. Eine höhere Zahlbereitschaft wird wichtiger sein, als das Sparen von Gebühren. 
- Zudem unterstützen die App-Stores eine Vielzahl verschiedener Zahlmöglichkeiten, diese alle mit z.B. Wirecard einzurichten, würde bei einer zunächst kleinen Summe an Transaktionen mehr kosten, als bringen. Die Kosten pro Transaktion nehmen erst ab einer großen Anzahl an monatlichen Einkäufen so stark ab, dass es sich lohnen könnte, ein eigenes Bezahlsystem anzubieten. 
- Langfristig haben wir aber natürlich genau das vor, weil wir uns sehr viele Kosten sparen könnten, wenn unsere Kosten pro Transaktion von 30% auf z.B. 15% fallen. Mehr dazu in den Kommentaren rechts.</t>
        </r>
      </text>
    </comment>
    <comment ref="B37" authorId="0">
      <text>
        <r>
          <rPr>
            <b/>
            <sz val="9"/>
            <color indexed="81"/>
            <rFont val="Tahoma"/>
            <family val="2"/>
          </rPr>
          <t xml:space="preserve">Michael Schöggl:
Wieviel Prozent sämtlicher Einnahmen über den App Store fallen an Gebühren an?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Transaktionsgebühren für In-App-Verkäufe im Google Play Store (30%). Die Gebühren für abgeschlossene Abos betragen 15%. Andere Stores wie z.B. Apple, Steam oder PlayStation sind günstiger, aber wir rechnen hier sicherheitshalber mit den höchsten Werten (abzüglich einer optional einstellbaren Verbesserung pro Quartal in der Spalte rechts). </t>
        </r>
      </text>
    </comment>
    <comment ref="C37" authorId="0">
      <text>
        <r>
          <rPr>
            <b/>
            <sz val="9"/>
            <color indexed="81"/>
            <rFont val="Tahoma"/>
            <family val="2"/>
          </rPr>
          <t xml:space="preserve">Michael Schöggl:
</t>
        </r>
        <r>
          <rPr>
            <b/>
            <sz val="9"/>
            <color indexed="81"/>
            <rFont val="Tahoma"/>
            <family val="2"/>
          </rPr>
          <t xml:space="preserve">
Um wieviel Prozent pro Quartal lassen sich die Transaktionsgebühren senken?</t>
        </r>
        <r>
          <rPr>
            <sz val="9"/>
            <color indexed="81"/>
            <rFont val="Tahoma"/>
            <family val="2"/>
          </rPr>
          <t xml:space="preserve">
</t>
        </r>
        <r>
          <rPr>
            <u/>
            <sz val="9"/>
            <color indexed="81"/>
            <rFont val="Tahoma"/>
            <family val="2"/>
          </rPr>
          <t>Begründung für diesen Wert</t>
        </r>
        <r>
          <rPr>
            <sz val="9"/>
            <color indexed="81"/>
            <rFont val="Tahoma"/>
            <family val="2"/>
          </rPr>
          <t>:
Wir gehen davon aus, die Transaktionsgebühren im Laufe der nächsten 3 Jahre von maximal 30% (= alle Einkäufe werden über den Play Store getätigt) auf rund 16,5% senken zu können, da ...
1.) ... wir auch alternative Bezahlungsmöglichkeiten anbieten wollen, z.B. über den Erwerb von Punkten auf unserer Homepage, die uns deutlich günstiger kommen.
2.) ... der Play Store zu den teuersten Stores gehört, connect aber nicht nur für Android erscheint, sondern auch PlayStation, Steam etc.
3.) ... die Store-Preise allgemein etwas fallen werden.
4.) ... wir uns hier gewaltige Kosten sparen können und daher sehr motiviert sein werden, Alternativen anzubieten.</t>
        </r>
      </text>
    </comment>
    <comment ref="A38" authorId="0">
      <text>
        <r>
          <rPr>
            <b/>
            <sz val="9"/>
            <color indexed="81"/>
            <rFont val="Tahoma"/>
            <family val="2"/>
          </rPr>
          <t>Michael Schöggl:</t>
        </r>
        <r>
          <rPr>
            <sz val="9"/>
            <color indexed="81"/>
            <rFont val="Tahoma"/>
            <family val="2"/>
          </rPr>
          <t xml:space="preserve">
Mit Ende 2019 betragen die Zinsen pro Monat ca. 3000 Euro, beim Beginn der Rückzahlung ist unsere Hausbank flexibel, wir rechnen aber ab Ende 2020 mit einer Laufzeit von 10 Jahren.
Auch wenn bei guter wirtschaftlicher Entwicklung der gesamte Kredit deutlich früher zurückgezahlt werden kann und wird, wird sicherheitshalber in dieser Prognose davon ausgegangen, dass die Rückzahlung im Verlauf von 10 Jahren erfolgt.</t>
        </r>
      </text>
    </comment>
    <comment ref="B38" authorId="0">
      <text>
        <r>
          <rPr>
            <b/>
            <sz val="9"/>
            <color indexed="81"/>
            <rFont val="Tahoma"/>
            <family val="2"/>
          </rPr>
          <t>Michael Schöggl:</t>
        </r>
        <r>
          <rPr>
            <sz val="9"/>
            <color indexed="81"/>
            <rFont val="Tahoma"/>
            <family val="2"/>
          </rPr>
          <t xml:space="preserve">
</t>
        </r>
        <r>
          <rPr>
            <b/>
            <sz val="9"/>
            <color indexed="81"/>
            <rFont val="Tahoma"/>
            <family val="2"/>
          </rPr>
          <t>Wieviel Zinsen bezahlen wir für laufende Kredite pro Monat?</t>
        </r>
        <r>
          <rPr>
            <sz val="9"/>
            <color indexed="81"/>
            <rFont val="Tahoma"/>
            <family val="2"/>
          </rPr>
          <t xml:space="preserve">
</t>
        </r>
        <r>
          <rPr>
            <u/>
            <sz val="9"/>
            <color indexed="81"/>
            <rFont val="Tahoma"/>
            <family val="2"/>
          </rPr>
          <t>Begründung für diesen Wert</t>
        </r>
        <r>
          <rPr>
            <sz val="9"/>
            <color indexed="81"/>
            <rFont val="Tahoma"/>
            <family val="2"/>
          </rPr>
          <t>:
- Erfahrungswerte: Die aktuellen Zinsen pro Monat betragen knapp 3000 €.</t>
        </r>
      </text>
    </comment>
    <comment ref="C38" authorId="0">
      <text>
        <r>
          <rPr>
            <b/>
            <sz val="9"/>
            <color indexed="81"/>
            <rFont val="Tahoma"/>
            <family val="2"/>
          </rPr>
          <t xml:space="preserve">Michael Schöggl:
Wieviel € pro Monat müssen für laufende Kredite ab 2021 zurückbezahlt werden?
</t>
        </r>
        <r>
          <rPr>
            <u/>
            <sz val="9"/>
            <color indexed="81"/>
            <rFont val="Tahoma"/>
            <family val="2"/>
          </rPr>
          <t>Begründung für diesen Wert</t>
        </r>
        <r>
          <rPr>
            <sz val="9"/>
            <color indexed="81"/>
            <rFont val="Tahoma"/>
            <family val="2"/>
          </rPr>
          <t>:
Über eine Laufzeit von 10 Jahren sollen ab 2021 die offenen Kredite (590.000 €) rückgezahlt werden.
Die erhaltenen Investitionen durch partiarische Darlehen werden über eine Gewinnbeteiligung ausgeschüttet, bis sie abbezahlt sind.</t>
        </r>
      </text>
    </comment>
    <comment ref="A39" authorId="0">
      <text>
        <r>
          <rPr>
            <b/>
            <sz val="9"/>
            <color indexed="81"/>
            <rFont val="Tahoma"/>
            <family val="2"/>
          </rPr>
          <t>Michael Schöggl:</t>
        </r>
        <r>
          <rPr>
            <sz val="9"/>
            <color indexed="81"/>
            <rFont val="Tahoma"/>
            <family val="2"/>
          </rPr>
          <t xml:space="preserve">
Alle Einnahmen wurden brutto mit Umsatzsteuer berechnet. D.h. die Einnahmenprognose ist um 20% vorsichtiger, als auf den ersten Blick angenommen, wenn Netto- statt Brutto-Beträge erwartet wurden.
Zwar besteht später die Möglichkeit, Steuervorteile zu nutzen (und der Steuersatz ist auch nicht in jedem Land so hoch, wie in Österreich), sicherheitshalber haben wir aber trotzdem mit 20% Umsatzsteuer auf alle Einnahmen gerechnet.</t>
        </r>
      </text>
    </comment>
    <comment ref="B39" authorId="0">
      <text>
        <r>
          <rPr>
            <b/>
            <sz val="9"/>
            <color indexed="81"/>
            <rFont val="Tahoma"/>
            <family val="2"/>
          </rPr>
          <t xml:space="preserve">Michael Schöggl:
Wieviel Prozent an Umsatzsteuer müssen für Einnahmen bezahlt werden?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Umsatzsteuer in Österreich, dieser Wert kann langfristig durch entsprechende Steuersparmaßnahmen deutlich reduziert werden.
- Die Umsatzsteuer in anderen Ländern ist in der Regel (deutlich) niedriger, aber unsere Prognose soll mit vorsichtigen Werten arbeiten.</t>
        </r>
      </text>
    </comment>
    <comment ref="C39"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Um wieviel Prozent pro Quartal sinkt die Umsatzsteuer durch steuersparende Maßnahmen?
</t>
        </r>
        <r>
          <rPr>
            <u/>
            <sz val="9"/>
            <color indexed="81"/>
            <rFont val="Tahoma"/>
            <family val="2"/>
          </rPr>
          <t>Begründung für diesen Wert</t>
        </r>
        <r>
          <rPr>
            <sz val="9"/>
            <color indexed="81"/>
            <rFont val="Tahoma"/>
            <family val="2"/>
          </rPr>
          <t xml:space="preserve">:
Wir nehmen hier 0 an, weil wir brave Steuerzahler sind, aber realistisch ist es nicht, dass wir dauerhaft 20% Umsatzsteuer zahlen würden, daher bei Bedarf hier bitte einen Minuswert eintragen - z.B. -1% (in 9 Schritten reduziert sich dann die Umsatzsteuer kontinuierlich von 20% auf 11%. 
</t>
        </r>
      </text>
    </comment>
    <comment ref="A40" authorId="0">
      <text>
        <r>
          <rPr>
            <b/>
            <sz val="9"/>
            <color indexed="81"/>
            <rFont val="Tahoma"/>
            <family val="2"/>
          </rPr>
          <t>Michael Schöggl:</t>
        </r>
        <r>
          <rPr>
            <sz val="9"/>
            <color indexed="81"/>
            <rFont val="Tahoma"/>
            <family val="2"/>
          </rPr>
          <t xml:space="preserve">
Der Gewinn wird so lange wie möglich reinvestiert, um keine Körperschaftsteuer (bzw. Einkommensteuer) zahlen zu müssen. 
Eigentlich rechnen bis Ende 2021 damit, die Einnahmen vollständig reinvestieren zu können und keine Gewinne zu machen. Bei der Prognose wurden aber einfach alle Gewinne mit 25% Körperschaftsteuer belegt.
Die Mindestkörperschaftssteuer beträgt bei einer GmbH rund 1750 € pro Jahr, kann aber später gegengerechnet werden, weshalb wir diesen Wert ignorieren (das ist kein Liquiditätsplan).
</t>
        </r>
      </text>
    </comment>
    <comment ref="B40" authorId="0">
      <text>
        <r>
          <rPr>
            <b/>
            <sz val="9"/>
            <color indexed="81"/>
            <rFont val="Tahoma"/>
            <family val="2"/>
          </rPr>
          <t>Michael Schöggl:
Wieviel Prozent des Gewinns müssen an Körperschaftsteuer abgezogen werden?</t>
        </r>
        <r>
          <rPr>
            <sz val="9"/>
            <color indexed="81"/>
            <rFont val="Tahoma"/>
            <family val="2"/>
          </rPr>
          <t xml:space="preserve">
</t>
        </r>
        <r>
          <rPr>
            <u/>
            <sz val="9"/>
            <color indexed="81"/>
            <rFont val="Tahoma"/>
            <family val="2"/>
          </rPr>
          <t>Begründung für diesen Wert</t>
        </r>
        <r>
          <rPr>
            <sz val="9"/>
            <color indexed="81"/>
            <rFont val="Tahoma"/>
            <family val="2"/>
          </rPr>
          <t>:
- Körperschaftsteuer in Österreich, dieser Wert kann langfristig durch entsprechende Steuersparmaßnahmen natürlich reduziert werden, zudem gibt es Beschlüsse der neuen Bundesregierung, die Körperschaftsteuer deutlich zu senken.
- Ebenso wie die Umsatzsteuer ist die Körperschaftsteuer in anderen Ländern auch niedriger, aber wir wollen vorsichtige Schätzwerte.</t>
        </r>
      </text>
    </comment>
    <comment ref="C40"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sinkt die Körperschaftsteuer durch steuersparende Maßnahmen?</t>
        </r>
        <r>
          <rPr>
            <sz val="9"/>
            <color indexed="81"/>
            <rFont val="Tahoma"/>
            <family val="2"/>
          </rPr>
          <t xml:space="preserve">
Wir nehmen hier 0 an, weil wir brave Steuerzahler sind, aber realistisch ist es nicht, dass wir dauerhaft 35 % Körperschaftsteuer zahlen würden (u.a. weil Gewinne reinvestiert werden, notfalls in andere Unternehmen oder Zukäufe), daher bei Bedarf hier bitte einen Minuswert eintragen - z.B. -1% (in 9 Schritten reduziert sich dann die Umsatzsteuer kontinuierlich von 20% auf 11%. </t>
        </r>
      </text>
    </comment>
    <comment ref="A41" authorId="0">
      <text>
        <r>
          <rPr>
            <b/>
            <sz val="9"/>
            <color indexed="81"/>
            <rFont val="Tahoma"/>
            <family val="2"/>
          </rPr>
          <t>Michael Schöggl:</t>
        </r>
        <r>
          <rPr>
            <sz val="9"/>
            <color indexed="81"/>
            <rFont val="Tahoma"/>
            <family val="2"/>
          </rPr>
          <t xml:space="preserve">
Meine geplanten Privatentnahmen (Abzug von der bereits geleisteten finanziellen Einbringung). Auch möglich wäre eine Anstellung zu eben diesen Kosten.</t>
        </r>
      </text>
    </comment>
    <comment ref="B41" authorId="0">
      <text>
        <r>
          <rPr>
            <b/>
            <sz val="9"/>
            <color indexed="81"/>
            <rFont val="Tahoma"/>
            <family val="2"/>
          </rPr>
          <t>Michael Schöggl:</t>
        </r>
        <r>
          <rPr>
            <sz val="9"/>
            <color indexed="81"/>
            <rFont val="Tahoma"/>
            <family val="2"/>
          </rPr>
          <t xml:space="preserve">
</t>
        </r>
        <r>
          <rPr>
            <b/>
            <sz val="9"/>
            <color indexed="81"/>
            <rFont val="Tahoma"/>
            <family val="2"/>
          </rPr>
          <t>Wieviel € pro Monat fallen an Kosten für das Geschäftsführergehalt oder die Privatentnahmen durch den Geschäftsführer an?</t>
        </r>
        <r>
          <rPr>
            <sz val="9"/>
            <color indexed="81"/>
            <rFont val="Tahoma"/>
            <family val="2"/>
          </rPr>
          <t xml:space="preserve">
</t>
        </r>
        <r>
          <rPr>
            <u/>
            <sz val="9"/>
            <color indexed="81"/>
            <rFont val="Tahoma"/>
            <family val="2"/>
          </rPr>
          <t xml:space="preserve">
Begründung für diesen Wert</t>
        </r>
        <r>
          <rPr>
            <sz val="9"/>
            <color indexed="81"/>
            <rFont val="Tahoma"/>
            <family val="2"/>
          </rPr>
          <t>:
- In der Praxis kann dieser Wert deutlich niedriger sein, da die Lebenserhaltungskosten nicht unbedingt 2.500 € pro Monat ausmachen, aber für eine vorsichtige Schätzung ist das ein guter Wert.</t>
        </r>
      </text>
    </comment>
    <comment ref="C41"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 pro Quartal steigt das Geschäftsführergehalt bzw. die Privatentnahme ab Erreichen der Gewinnzone?</t>
        </r>
        <r>
          <rPr>
            <sz val="9"/>
            <color indexed="81"/>
            <rFont val="Tahoma"/>
            <family val="2"/>
          </rPr>
          <t xml:space="preserve">
</t>
        </r>
        <r>
          <rPr>
            <u/>
            <sz val="9"/>
            <color indexed="81"/>
            <rFont val="Tahoma"/>
            <family val="2"/>
          </rPr>
          <t>Begründung für diesen Wert</t>
        </r>
        <r>
          <rPr>
            <sz val="9"/>
            <color indexed="81"/>
            <rFont val="Tahoma"/>
            <family val="2"/>
          </rPr>
          <t>:
- Es wäre unglaubwürdig, hier unabhängig vom Erfolg des Unternehmens von gleichbleibenden Kosten auszugehen. 
- Zudem wäre eine repräsentative Vertretung nach Außen hin mit 2500 € eingeschränkter möglich, als mit eine angebrachten Gehalt.</t>
        </r>
      </text>
    </comment>
    <comment ref="A42" authorId="0">
      <text>
        <r>
          <rPr>
            <b/>
            <sz val="9"/>
            <color indexed="81"/>
            <rFont val="Tahoma"/>
            <family val="2"/>
          </rPr>
          <t xml:space="preserve">Michael Schöggl:
</t>
        </r>
        <r>
          <rPr>
            <sz val="9"/>
            <color indexed="81"/>
            <rFont val="Tahoma"/>
            <family val="2"/>
          </rPr>
          <t xml:space="preserve">
Nach unseren Basis-Kosten für Lizenzen etc. wurden ab 2021 weiter 0,01 Cent pro User veranschlagt, um u.a. die steigenden Serverkosten abzubilden. Jeder Server, der pro Monat rund 300 Euro angemietet kostet, kann problemlos mehr als 30.000 User beherrbergen, aber es gibt noch weitere kleinere Kosten wie z.B. den erstmaligen SMS-Versand für die Registrierung, etc.
Kosten in Höhe von 1 Cent pro User und Monat sind insgesamt durchaus realistisch.</t>
        </r>
      </text>
    </comment>
    <comment ref="B42" authorId="0">
      <text>
        <r>
          <rPr>
            <b/>
            <sz val="9"/>
            <color indexed="81"/>
            <rFont val="Tahoma"/>
            <family val="2"/>
          </rPr>
          <t>Michael Schöggl:</t>
        </r>
        <r>
          <rPr>
            <sz val="9"/>
            <color indexed="81"/>
            <rFont val="Tahoma"/>
            <family val="2"/>
          </rPr>
          <t xml:space="preserve">
</t>
        </r>
        <r>
          <rPr>
            <b/>
            <sz val="9"/>
            <color indexed="81"/>
            <rFont val="Tahoma"/>
            <family val="2"/>
          </rPr>
          <t>Mit welchen Fixkosten müssen wir monatlich für Server, Lizenzen und andere userabhängige Kosten rechnen?</t>
        </r>
        <r>
          <rPr>
            <sz val="9"/>
            <color indexed="81"/>
            <rFont val="Tahoma"/>
            <family val="2"/>
          </rPr>
          <t xml:space="preserve">
</t>
        </r>
        <r>
          <rPr>
            <u/>
            <sz val="9"/>
            <color indexed="81"/>
            <rFont val="Tahoma"/>
            <family val="2"/>
          </rPr>
          <t>Begründung für diesen Wert</t>
        </r>
        <r>
          <rPr>
            <sz val="9"/>
            <color indexed="81"/>
            <rFont val="Tahoma"/>
            <family val="2"/>
          </rPr>
          <t xml:space="preserve">:
- Es handelt sich hier um einen Erfahrungswert aufgrund bisherigen Kosten - auch wenn bei 2000 € bereits alle Lizenzenkosten (für Shutterstock, Unity, Cision, Mailworx, etc.) enthalten sind.
- Diese nicht-userabgängigen Lizenzkosten sind nur einmalig zu bezahlen und werden später in den Betriebsausgaben veranschlagt. 
- Dieser Wert soll sich auf (noch nicht vorhandene) userabhängige Lizenzrechte, Service-Kosten (z.B. der SMS-Versand für den Zugangscode bei der Registrierung neuer User) und die bereits bekannten Serverkosten (ca. 300 € pro Monat für einen Server, der locker 300.000 User verwalten kann) beziehen. </t>
        </r>
      </text>
    </comment>
    <comment ref="C42" authorId="0">
      <text>
        <r>
          <rPr>
            <b/>
            <sz val="9"/>
            <color indexed="81"/>
            <rFont val="Tahoma"/>
            <family val="2"/>
          </rPr>
          <t>Michael Schöggl:</t>
        </r>
        <r>
          <rPr>
            <sz val="9"/>
            <color indexed="81"/>
            <rFont val="Tahoma"/>
            <family val="2"/>
          </rPr>
          <t xml:space="preserve">
</t>
        </r>
        <r>
          <rPr>
            <b/>
            <sz val="9"/>
            <color indexed="81"/>
            <rFont val="Tahoma"/>
            <family val="2"/>
          </rPr>
          <t>Wieviel € wird uns jeder User pro Monat für Service, Server und Lizenzrechte kosten?</t>
        </r>
        <r>
          <rPr>
            <sz val="9"/>
            <color indexed="81"/>
            <rFont val="Tahoma"/>
            <family val="2"/>
          </rPr>
          <t xml:space="preserve">
</t>
        </r>
        <r>
          <rPr>
            <u/>
            <sz val="9"/>
            <color indexed="81"/>
            <rFont val="Tahoma"/>
            <family val="2"/>
          </rPr>
          <t>Begründung für diesen Wert</t>
        </r>
        <r>
          <rPr>
            <sz val="9"/>
            <color indexed="81"/>
            <rFont val="Tahoma"/>
            <family val="2"/>
          </rPr>
          <t>:
- Nach unseren Basis-Kosten für Lizenzen etc. wurden ab 2021 weiter 0,01 Cent pro User veranschlagt, um u.a. die steigenden Serverkosten abzubilden. Jeder Server, der pro Monat rund 300 Euro angemietet kostet, kann problemlos mehr als 30.000 User beherrbergen, aber es gibt noch weitere kleinere Kosten wie z.B. den erstmaligen SMS-Versand für die Registrierung, etc.
- Kosten in Höhe von 1 Cent pro User und Monat sind insgesamt realistisch und pessimistisch geschätzt.
- Mittelfristig werden wir Server nicht mehr mieten, sondern selbst anschaffen, aber die Kosten werde als Abschreibposten ungefähr dieselben bleiben (eher sinken als steigen).</t>
        </r>
      </text>
    </comment>
    <comment ref="A43" authorId="0">
      <text>
        <r>
          <rPr>
            <b/>
            <sz val="9"/>
            <color indexed="81"/>
            <rFont val="Tahoma"/>
            <family val="2"/>
          </rPr>
          <t>Michael Schöggl:</t>
        </r>
        <r>
          <rPr>
            <sz val="9"/>
            <color indexed="81"/>
            <rFont val="Tahoma"/>
            <family val="2"/>
          </rPr>
          <t xml:space="preserve">
- Hier werden sämtliche Ausgaben für externe Dienstleister und sonstige Ausgaben (die nicht in die anderen Kategorien passen) subsummiert. 
- U.a. sind das Kosten für outgesourcte Softwareentwicklung, Rechtsberatung, IP-Beratung, allgemeine Unternehmsberatung (z.B. beim Pricing), Marketing-Dienstleistungen, Animation von 3D-Modellen (z.B. virtuelle Haustiere), Homepage-Entwicklung (eigentlich abgeschlossen - nichts, was wir selbst machen), etc.
- Kosten, die im Zuge eines Abos entstehen (z.B. für Shutterstock, Cision, Mailworx, Server, Lizenzen, etc.) werden hier nicht gelistet, sondern in der Kategorie 3.4 Betriebsausgaben, wenn sie unabhängig von der Anzahl unserer User sind, bzw. 3.10, wenn sie mit der Useranzahl mitskalieren. </t>
        </r>
      </text>
    </comment>
    <comment ref="B43" authorId="0">
      <text>
        <r>
          <rPr>
            <b/>
            <sz val="9"/>
            <color indexed="81"/>
            <rFont val="Tahoma"/>
            <family val="2"/>
          </rPr>
          <t>Michael Schöggl:</t>
        </r>
        <r>
          <rPr>
            <sz val="9"/>
            <color indexed="81"/>
            <rFont val="Tahoma"/>
            <family val="2"/>
          </rPr>
          <t xml:space="preserve">
</t>
        </r>
        <r>
          <rPr>
            <b/>
            <sz val="9"/>
            <color indexed="81"/>
            <rFont val="Tahoma"/>
            <family val="2"/>
          </rPr>
          <t xml:space="preserve">
Wieviel Prozent der gesamten Einnahmen werden wir für Outsourcing, externe Dienstleister und sonstige Ausgaben benötigen?</t>
        </r>
        <r>
          <rPr>
            <sz val="9"/>
            <color indexed="81"/>
            <rFont val="Tahoma"/>
            <family val="2"/>
          </rPr>
          <t xml:space="preserve">
</t>
        </r>
        <r>
          <rPr>
            <u/>
            <sz val="9"/>
            <color indexed="81"/>
            <rFont val="Tahoma"/>
            <family val="2"/>
          </rPr>
          <t>Begründung für diesen Wert</t>
        </r>
        <r>
          <rPr>
            <sz val="9"/>
            <color indexed="81"/>
            <rFont val="Tahoma"/>
            <family val="2"/>
          </rPr>
          <t>:
- Gerade zu Beginn werden wir keine Rechtsabteilung oder HR-Abteilung haben, sondern externe Dienstleister für derlei Aufgaben beschäftigen. Auch Marketing-Dienstleistungen sind hier abgebildet.
- Ein Teil unserer Entwicklung wird gerade zu Beginn auch durch Outsourcing abgedeckt, da dieser Weg es ermöglicht, international Experten relativ rasch einzusetzen. Ein eigenes Team aufzubauen, das alle Aufgaben übernimmt, kann einige Monate dauern. 
- Zu Beginn entsprechen 5% der Einnahmen zuzüglich 10.000 € an monatlichen Fixkosten einem Erfahrungswert, der genug Spielraum für Outsourcing lässt.
- Die Kosten pro Quartal steigen kontinuierlich um diese 5% der Einnahmen an, es wird der Wert des vorherigen Quartals entsprechend erhöht. Diese "Mindestkosten" bleiben erhalten.</t>
        </r>
      </text>
    </comment>
    <comment ref="C43"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fallen die prozentualen, einnahmeabhängigen Kosten für externe Dienstleistungen?</t>
        </r>
        <r>
          <rPr>
            <sz val="9"/>
            <color indexed="81"/>
            <rFont val="Tahoma"/>
            <family val="2"/>
          </rPr>
          <t xml:space="preserve">
</t>
        </r>
        <r>
          <rPr>
            <u/>
            <sz val="9"/>
            <color indexed="81"/>
            <rFont val="Tahoma"/>
            <family val="2"/>
          </rPr>
          <t>Begründung für diesen Wert</t>
        </r>
        <r>
          <rPr>
            <sz val="9"/>
            <color indexed="81"/>
            <rFont val="Tahoma"/>
            <family val="2"/>
          </rPr>
          <t>:
- Langfristig werden die Kosten für externe Dienstleister sinken, weil wir eigene Mitarbeiter für derlei Aufgaben beschäftigen werden. Darum wird der Prozentsatz von den Einnahmen im Laufe der Quartale deutlich fallen.
- Dazu kommt, dass unsere Kosten nicht im selben Ausmaß wie unsere Einnahmen ansteigen müssen, weil unsere Einnahmen primär aus neuen Usern resultieren und mehr User nicht zwangsläufig höhere Entwicklungskosten bedeuten müssen.</t>
        </r>
      </text>
    </comment>
    <comment ref="A44" authorId="1">
      <text>
        <r>
          <rPr>
            <b/>
            <sz val="9"/>
            <color indexed="81"/>
            <rFont val="Tahoma"/>
            <family val="2"/>
          </rPr>
          <t>e.com:</t>
        </r>
        <r>
          <rPr>
            <sz val="9"/>
            <color indexed="81"/>
            <rFont val="Tahoma"/>
            <family val="2"/>
          </rPr>
          <t xml:space="preserve">
</t>
        </r>
        <r>
          <rPr>
            <u/>
            <sz val="9"/>
            <color indexed="81"/>
            <rFont val="Tahoma"/>
            <family val="2"/>
          </rPr>
          <t>Informationen zu bezahlter Werbung:</t>
        </r>
        <r>
          <rPr>
            <sz val="9"/>
            <color indexed="81"/>
            <rFont val="Tahoma"/>
            <family val="2"/>
          </rPr>
          <t xml:space="preserve">
- erste Tests zeigen: rund 3 € pro neuem User (= Anmeldung, nicht nur Installation)
- viele Werbevideos sind vorbereitet und es ist einfach, neue zu erstellen: http://bit.ly/2zlcvAl
- wir werden bis Mitte 2020 verschiedenste Marketing-Zugänge austesten und jene mit dem besten Kosten-Nutzen-Verhältnis optimieren und forcieren
- die Kosten pro neuem User sind EXTREM wichtig, da uns jeder User pro Jahr mehr Geld bringt, als kostet und es sich daher lohnt, so viel Geld wie möglich in Werbung zu investieren
- wegen der geringen Fixkosten der Entwicklung (neue Inhalte stammen meist von Partnern!) wird connect alle Werbeausgaben multiplikativ wieder einspielen
- daher wichtigstes Ziel: Werbekosten pro neuem User minimieren und möglichst viel Geld in Werbung zu investieren (wir rechnen mit 30 % der Einnahmen)
- Kreislauf führt zu exponentiellem Wachstum: je mehr User, umso mehr Einnahmen und dadurch immer mehr Werbung (prozentualer Anteil der Einnahmen) - was wieder zu mehr Usern führt... wir gewinnen sehr schnell an Tempo
- bis die Kosten für neue User die Einnahmen übersteigen (weil die primäre Zielgruppe zunehmend ausgeschöpft ist) werden wir uns massiv auf bezahlte Werbung konzentrieren, danach (ca. ab 100+ Mio User) sind unsere multiplikativen Tricks (1.3 bis 1.9) mehr als ausreichend
</t>
        </r>
      </text>
    </comment>
    <comment ref="B44"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Wie viel kostet uns jeder neue User mit bezahlter Werbung? </t>
        </r>
        <r>
          <rPr>
            <sz val="9"/>
            <color indexed="81"/>
            <rFont val="Tahoma"/>
            <family val="2"/>
          </rPr>
          <t xml:space="preserve">
</t>
        </r>
        <r>
          <rPr>
            <u/>
            <sz val="9"/>
            <color indexed="81"/>
            <rFont val="Tahoma"/>
            <family val="2"/>
          </rPr>
          <t>Begründung für diesen Wert:</t>
        </r>
        <r>
          <rPr>
            <sz val="9"/>
            <color indexed="81"/>
            <rFont val="Tahoma"/>
            <family val="2"/>
          </rPr>
          <t xml:space="preserve">
- erste Tests zeigen ca. 3 € Kosten pro neuem User
- entspricht auch den durchschnittlichen Kosten laut mehreren Internetquellen (unten)
- durchschnittliche Kosten pro Installation sind laut Statista 0,44 Dollar bzw. 1,91 $ in den USA und 0,99 $ in Europa laut mobyaffiliates.com (siehe Quellen)
- bis Mitte 2020 testen wir mit geringem Kapital verschiedene Werbekanäle, der Fokus liegt auf Informationsgewinn statt neuen Usern</t>
        </r>
      </text>
    </comment>
    <comment ref="C44"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Absolute Verringerung der Akquirierungskosten pro Quartal in Euro.
</t>
        </r>
        <r>
          <rPr>
            <u/>
            <sz val="9"/>
            <color indexed="81"/>
            <rFont val="Tahoma"/>
            <family val="2"/>
          </rPr>
          <t xml:space="preserve">Begründung für diesen Wert:
</t>
        </r>
        <r>
          <rPr>
            <sz val="9"/>
            <color indexed="81"/>
            <rFont val="Tahoma"/>
            <family val="2"/>
          </rPr>
          <t>- Werbematerial wird immer professioneller.
- Erfahrungen helfen, den Werbezugang zu optimieren. 
- Das Produkt verbessert sich, der Nutzen für den Kunden steigt, wodurch auch mehr auf die Werbung anspringen. 
- Die Werbekosten allgemein sinken eher, als dass sie steigen würden.</t>
        </r>
      </text>
    </comment>
    <comment ref="J44" authorId="0">
      <text>
        <r>
          <rPr>
            <b/>
            <sz val="9"/>
            <color indexed="81"/>
            <rFont val="Tahoma"/>
            <family val="2"/>
          </rPr>
          <t xml:space="preserve">Michael Schöggl:
</t>
        </r>
        <r>
          <rPr>
            <sz val="9"/>
            <color indexed="81"/>
            <rFont val="Tahoma"/>
            <family val="2"/>
          </rPr>
          <t xml:space="preserve">
Durchschnittswert für dieses Jahr.</t>
        </r>
      </text>
    </comment>
    <comment ref="A45" authorId="0">
      <text>
        <r>
          <rPr>
            <b/>
            <sz val="9"/>
            <color indexed="81"/>
            <rFont val="Tahoma"/>
            <family val="2"/>
          </rPr>
          <t xml:space="preserve">Michael Schöggl:
</t>
        </r>
        <r>
          <rPr>
            <sz val="9"/>
            <color indexed="81"/>
            <rFont val="Tahoma"/>
            <family val="2"/>
          </rPr>
          <t xml:space="preserve">
Bis Mitte 2020 machen wir nur erste, günstige Tests mit bezahlter Werbung, um jene Kanäle zu finden, die das besten Kosten-Nutzen-Verhältnis haben (u.a. werden wir AdColony und Vungle testen, aber auch viele komplett andere Zugänge). 
Wenn wir bis Mitte 2020 den für uns besten Zugang gefunden haben, werden wir ihn optimieren und perfektionieren, um möglichst nicht mehr als 3 € pro neuem User an Kosten zu haben. Das sind realistische Erfahrungswerte für kostenlose Apps und Spiele, die sich sicher erreichen lassen, da connect ein breiteres, weniger spezifisches Puplikum anspricht und auch mehr weniger stark umkämpfte Werbezugänge erlaubt, als klassische App-Spiele. Wenn wir dieses Ziel erreichen, werden wir je nach finanzieller Aussicht zwischen 0 und 5.000 € pro Monat in Werbung stecken, bis wir erste Einnahmen haben. Die Prognose rechnet aktuell mit mindestens 5.000 € an Werbekosten pro Monat ab Mitte 2018.
Sobald wir Einnahmen haben, wollen wir rund 30% der Einnahmen in Werbung reinvestieren - jedoch mit einer Obergrenze, die nun willkürlich mit 1.000.000 festgelegt wurde</t>
        </r>
      </text>
    </comment>
    <comment ref="B45" authorId="0">
      <text>
        <r>
          <rPr>
            <b/>
            <sz val="9"/>
            <color indexed="81"/>
            <rFont val="Tahoma"/>
            <family val="2"/>
          </rPr>
          <t>Michael Schöggl:</t>
        </r>
        <r>
          <rPr>
            <sz val="9"/>
            <color indexed="81"/>
            <rFont val="Tahoma"/>
            <family val="2"/>
          </rPr>
          <t xml:space="preserve">
</t>
        </r>
        <r>
          <rPr>
            <b/>
            <sz val="9"/>
            <color indexed="81"/>
            <rFont val="Tahoma"/>
            <family val="2"/>
          </rPr>
          <t xml:space="preserve">Prozentsatz der Einnahmen, die wir pro Monat in bezahlte Werbung stecken. </t>
        </r>
        <r>
          <rPr>
            <sz val="9"/>
            <color indexed="81"/>
            <rFont val="Tahoma"/>
            <family val="2"/>
          </rPr>
          <t xml:space="preserve">
</t>
        </r>
        <r>
          <rPr>
            <u/>
            <sz val="9"/>
            <color indexed="81"/>
            <rFont val="Tahoma"/>
            <family val="2"/>
          </rPr>
          <t>Begründung für diesen Wert:</t>
        </r>
        <r>
          <rPr>
            <sz val="9"/>
            <color indexed="81"/>
            <rFont val="Tahoma"/>
            <family val="2"/>
          </rPr>
          <t xml:space="preserve">
- Dieser Wert hängt natürlich davon ab, wie viel uns jeder neue User tatsächlich kostet und ein Einnahmen bringt. 
- Auf Basis der aktuellen Schätzwerte ist klar, dass jeder User sehr rasch deutlich mehr Geld einbringt, als er kostet - weshalb es solange Sinn für uns macht, möglichst viel Geld in Werbung zu stecken, solange wir ein gutes Verhältnis der Kosten pro neuem User aufrechterhalten können. 
- Irgendwann sind bestimmte Marketingkanäle oder die Zielgruppe erschöpft und bei anderen Zugängen sind die Kosten pro neuem User höher, eventuell zu hoch. Darum gibt es in der Spalte rechts auch einen Grenzwert, wie viel Geld wir maximal pro Monat in bezahlte Werbung stecken sollten.
- Dieser Wert ist absichtlich ein Prozentwert von den Einnahmen, weil wir damit nicht riskieren würden, uns zu stark zu verschulden. 
- Mit entsprechendem Investment könnten wir natürlich auch unabhängig von den Einnahmen deutlich mehr Geld für bezahlte Werbung ausgeben und viel schneller wachsen. Wie die Zahlen in dieser Tabelle und bei vergleichbaren, erfolgreichen Social Networks zeigen (die teilweise Wachstumsraten von mehr als 500% pro Jahr haben - über die ersten 2-4 Jahre hinweg), entwicklen sich die Einnahmen und Userzahlen fast exponentiell, was bedeutet, dass es durchaus Sinn machen würde, den Start gewaltig zu beschleunigen, weil wir dann auch viel schneller in die schwarzen Zahlen kommen. 
- Weil wir x % der Einnahmen in Werbung investieren, ist die Entwicklung der Userzahlen "noch" exponentieller als ohnehin schon, schließlich bekommen wir durch mehr User mehr Einnahmen und investieren einen Teil dieser Einnahmen wieder in die Akquise neuer User. Der Kreislauf dreht sich immer schneller.</t>
        </r>
      </text>
    </comment>
    <comment ref="C45" authorId="0">
      <text>
        <r>
          <rPr>
            <b/>
            <sz val="9"/>
            <color indexed="81"/>
            <rFont val="Tahoma"/>
            <family val="2"/>
          </rPr>
          <t>Michael Schöggl:</t>
        </r>
        <r>
          <rPr>
            <sz val="9"/>
            <color indexed="81"/>
            <rFont val="Tahoma"/>
            <family val="2"/>
          </rPr>
          <t xml:space="preserve">
</t>
        </r>
        <r>
          <rPr>
            <b/>
            <sz val="9"/>
            <color indexed="81"/>
            <rFont val="Tahoma"/>
            <family val="2"/>
          </rPr>
          <t>Obergrenze. Wieviel € sollen maximalen pro Monat für Werbung ausgegeben werden?</t>
        </r>
        <r>
          <rPr>
            <sz val="9"/>
            <color indexed="81"/>
            <rFont val="Tahoma"/>
            <family val="2"/>
          </rPr>
          <t xml:space="preserve">
</t>
        </r>
        <r>
          <rPr>
            <u/>
            <sz val="9"/>
            <color indexed="81"/>
            <rFont val="Tahoma"/>
            <family val="2"/>
          </rPr>
          <t>Begründung für diesen Wert</t>
        </r>
        <r>
          <rPr>
            <sz val="9"/>
            <color indexed="81"/>
            <rFont val="Tahoma"/>
            <family val="2"/>
          </rPr>
          <t xml:space="preserve">:
- Es lassen sich nicht unbegrenzt viele Menschen monatlich mit bezahlter Werbung erreichen, ohne dass die Kosten pro neuem User durch Ineffizienz der Werbezugänge deutlich ansteigen. 
- Der Wert mit 10.000.000 € ist extrem hoch gewählt, weil es für ein Produkt wie connect a.) extrem viele verschiedene Möglichkeiten gibt, effektiv Werbung zu machen, und wir b.) bei den aktuellen Schätzungen auch genügend finanzielle Mittel hätten, um die besten Marketing-Profis weltweit einsetzen zu können.
- Solange uns jeder neue User weniger kostet, als er (mittelfristig) bringt, lohnt es sich, so viel Geld wie möglich in Werbung und Wachstum zu stecken. </t>
        </r>
      </text>
    </comment>
    <comment ref="B46" authorId="0">
      <text>
        <r>
          <rPr>
            <b/>
            <sz val="9"/>
            <color indexed="81"/>
            <rFont val="Tahoma"/>
            <family val="2"/>
          </rPr>
          <t>Michael Schöggl:</t>
        </r>
        <r>
          <rPr>
            <sz val="9"/>
            <color indexed="81"/>
            <rFont val="Tahoma"/>
            <family val="2"/>
          </rPr>
          <t xml:space="preserve">
</t>
        </r>
        <r>
          <rPr>
            <b/>
            <sz val="9"/>
            <color indexed="81"/>
            <rFont val="Tahoma"/>
            <family val="2"/>
          </rPr>
          <t>Wieviel Euro sollen insgesamt für eine "Boost-Kampagne" zu Beginn - d.h. nach dem offiziellem Release Mitte 2020 - ausgegeben werden?</t>
        </r>
        <r>
          <rPr>
            <sz val="9"/>
            <color indexed="81"/>
            <rFont val="Tahoma"/>
            <family val="2"/>
          </rPr>
          <t xml:space="preserve"> 
Verteilung ab Q3 2020 (pro Quartal): 35%, 30%, 20%, 15%
</t>
        </r>
        <r>
          <rPr>
            <u/>
            <sz val="9"/>
            <color indexed="81"/>
            <rFont val="Tahoma"/>
            <family val="2"/>
          </rPr>
          <t>Begründung für diesen Wert</t>
        </r>
        <r>
          <rPr>
            <sz val="9"/>
            <color indexed="81"/>
            <rFont val="Tahoma"/>
            <family val="2"/>
          </rPr>
          <t xml:space="preserve">:
- Je schneller unsere Userzahl </t>
        </r>
        <r>
          <rPr>
            <u/>
            <sz val="9"/>
            <color indexed="81"/>
            <rFont val="Tahoma"/>
            <family val="2"/>
          </rPr>
          <t>zu Beginn</t>
        </r>
        <r>
          <rPr>
            <sz val="9"/>
            <color indexed="81"/>
            <rFont val="Tahoma"/>
            <family val="2"/>
          </rPr>
          <t xml:space="preserve"> wächst, umso früher kommen wir in die Gewinnzone und umso mehr steigert sich auch das Wachstum von connect in den darauffolgenden Monaten. Darum lohnt es sich einen Teil des Investments gleich in bezahlte Werbung zu investieren - sofern die Mittel dafür übrig sind.
- Solange unsicher ist, ob jeder neue User wirklich mehr einbringt, als er kostet, stellt dieses Investment natürlich ein Risiko dar, darum macht diese Kampagne erst dann und nur solange Sinn, bis die Akquirierungskosten durch ein Ausschöpfen dieses Marketingzugangs zu hoch werden. Bevor wir so eine Kampagne starten, müssen wir genaue Zahlen zur Absprungrate und zu den ersten Einnahmen über den In-App-Shop haben, idealerweise auch die Wachstumsraten auf Basis der bereits bestehenden User. Diese Zahlen hier eingegeben erlauben einfache Hochrechnungen, ob sich das Investment lohnt. 
- Der hier eingetragene Betrag wird auf ein Jahr verteilt ausgegeben, davon 35% im 1. Quartal, 30% im 2. Quartal, 20% im 3. Quartal und 15% im 4. Quartal. Umso früher User akquiriert werden, umso stärker beeinflusst das den gesamten zukünftigen Verlauf positiv, aber gleichzeitig ergeben sich dadurch natürlich auch Risiken (z.B. kann der positive Werbeeffekt nicht beliebig weit hochskaliert werden). Das tatsächliche Tempo der Kampagne wird also von den konkreten Zahlen und Erfahrungen bis zu diesem Zeitpunkt abhängig gemacht.</t>
        </r>
      </text>
    </comment>
    <comment ref="A47" authorId="0">
      <text>
        <r>
          <rPr>
            <b/>
            <sz val="9"/>
            <color indexed="81"/>
            <rFont val="Tahoma"/>
            <family val="2"/>
          </rPr>
          <t xml:space="preserve">Michael Schöggl:
</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
</t>
        </r>
      </text>
    </comment>
    <comment ref="A49"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List>
</comments>
</file>

<file path=xl/comments8.xml><?xml version="1.0" encoding="utf-8"?>
<comments xmlns="http://schemas.openxmlformats.org/spreadsheetml/2006/main">
  <authors>
    <author>Michael Schöggl</author>
    <author>e.com</author>
  </authors>
  <commentList>
    <comment ref="B2" authorId="0">
      <text>
        <r>
          <rPr>
            <b/>
            <sz val="9"/>
            <color indexed="81"/>
            <rFont val="Tahoma"/>
            <family val="2"/>
          </rPr>
          <t>Michael Schöggl:</t>
        </r>
        <r>
          <rPr>
            <sz val="9"/>
            <color indexed="81"/>
            <rFont val="Tahoma"/>
            <family val="2"/>
          </rPr>
          <t xml:space="preserve">
- Beim Worst Case Szenario gehen wir von folgenden Annahmen aus:
- Dieselben negativen Entwicklungen, wie bereits bei der pessimistischen Schätzung, nur noch extremer.
- Zusätzlich bringen all unsere Marketing-Strategien fast nichts mehr. Mundpropagdanda sowieso nicht.
- Die Obergrenze für unsere Zielgruppe liegt bei wenigen Hunderttausend statt Millionen Usern. 
- Die Werbekosten sind viel zu hoch, als dass bezahlte Werbung Sinn machen würde (7 € pro neuem User, bei 25% monatlicher Abwanderung).
- Unsere Absprungrate wäre bei sagenhaften 200 bis 250% pro Jahr und unsere Geschäftsmodelle brächten weniger Geld ein, als jede durchschnittliche, einfache 08/15 App.
- Wir reduzieren unseren Personalkosten auf einen Mitarbeiter (Software-Entwickler für die Wartung der App), entwickeln als Freelancer zuhause und reduzieren auch alle übrigen Kosten soweit wie realistisch möglich (erfolgt erst nach Mitte 2020, wenn aufgrund unserer Zahlen klar wird, dass wir einsparen müssen; davor rechnen wir noch mit viel zu hohen Kosten, um das Worst Case Szenario noch worse(r) zu machen). 
- Es dauert bis Ende 2022, bis wir endlich in die Gewinnzone kommen.
- Wir überleben und nach 2023 geht es langsam bergauf, wir machen - positiv betrachtet - ab dann jährlich Millionengewinne. Trotzdem ist das natürlich keine Entwicklung, die wir als Erfolg bezeichnen könnten. Wir hätten unglaublich viel Potential verschenkt. 
- Es sei ausdrücklich betont, dass dieses Szenario hinsichtlich aller Schätzwerte die Grenze zu einer realistischen Entwicklung bereits überschritten hat. Unsere Performance wäre in allen Bereichen deutlich unter jedem Schnitt und es würde uns nicht gelingen, einen einzigen fähigen Unterstützer oder Mitarbeiter einzustellen, der es schafft, den Effekt unserer Marketing-Maßnahmen auf ein durchschnittliches Niveau zu heben (was für unseren Erfolg bereits ausreichen würde). 
- Zudem bestünde bei so einem Worst Case Szenario über viele Jahre hinweg die Möglichkeit, durch ein Investment, gute Mitarbeiter, Ratschläge, bzw. Unterstützer, eine veränderte Marktlage (z.B. VR- oder Datenschutz-Boom) oder einen Pivot das Ruder herumzureißen. 
- Teilweise würde schon ein einzelnes Medienereignis ausreichen, um mit etwas Glück doppelt so viele User zu gewinnen, als wir in unseren Worst Case Szenario in 5 Jahren angesammelt haben: "Threema", ein WhatsApp-Clone aus der Schweiz, der Wert auf Datenschutz legt, hat z.B. trotz 3 Euro App-Kosten(!) und ohne irgendwelche Besonderheiten (mit Ausnahme vom versprochenen Datenschutz) es innerhalb eines einzigen Tages(!) - als Facebook WhatsApp aufgekauft hat und viele User Datenschutzbedenken hatten - von vollständiger Unbekanntheit zu 400.000 neuen Usern gebracht - allein, weil die App in den deutschen Medien als eine der vielen datensicheren Alternativen zu WhatsApp genannt wurde.
- Auf uns übertragen: Einer unserer prominenten User (armer Armin Assinger) bricht sich beim Versuch, sein virtuelles Haustier während seiner VR-Session zu fangen, das Bein, oder ein afghanischer User entdeckt, dass man unser virtuelles Flugzeug (auf dessen Banner man Botschaft an Freunde verschickt) mit einem Trick so abschießen kann, dass es gleichzeitig zwei Türme in unserem New York Ausblick versenkt - und schon wird aus unserem Worst Case Szenario eine akzeptable Entwicklungs-Prognose. 
- Kurz gesagt: Wir müssten schon dauerhaft und wiederholt wirklich sehr viel sehr falsch machen, unvorstellbares Pech haben und resistent gegenüber allen Hilfestellungen, Vorschlägen und möglichen Chancen sein, um tatsächlich mit diesem Worst Case Szenario konfrontiert zu werden.</t>
        </r>
      </text>
    </comment>
    <comment ref="D2" authorId="0">
      <text>
        <r>
          <rPr>
            <b/>
            <sz val="9"/>
            <color indexed="81"/>
            <rFont val="Tahoma"/>
            <family val="2"/>
          </rPr>
          <t>Michael Schöggl:</t>
        </r>
        <r>
          <rPr>
            <sz val="9"/>
            <color indexed="81"/>
            <rFont val="Tahoma"/>
            <family val="2"/>
          </rPr>
          <t xml:space="preserve">
- </t>
        </r>
        <r>
          <rPr>
            <u/>
            <sz val="9"/>
            <color indexed="81"/>
            <rFont val="Tahoma"/>
            <family val="2"/>
          </rPr>
          <t>In den hell-orange-rosanen Zellen</t>
        </r>
        <r>
          <rPr>
            <sz val="9"/>
            <color indexed="81"/>
            <rFont val="Tahoma"/>
            <family val="2"/>
          </rPr>
          <t xml:space="preserve"> wurden die Werte von Ihrer Schätzung im Register-Tab "Eigene Schätzung" übernommen.
-</t>
        </r>
        <r>
          <rPr>
            <u/>
            <sz val="9"/>
            <color indexed="81"/>
            <rFont val="Tahoma"/>
            <family val="2"/>
          </rPr>
          <t xml:space="preserve"> In den kräftig orangen Zellen</t>
        </r>
        <r>
          <rPr>
            <sz val="9"/>
            <color indexed="81"/>
            <rFont val="Tahoma"/>
            <family val="2"/>
          </rPr>
          <t xml:space="preserve"> können Sie weitere, zusätzliche Schätzwerte eintragen bzw. die bisherigen Werte durch einen zeitlichen Verlauf (z.B. Wachstum oder Reduktion eines Wertes um x pro Quartal) noch genauer spezifizieren.
- In den anderen </t>
        </r>
        <r>
          <rPr>
            <u/>
            <sz val="9"/>
            <color indexed="81"/>
            <rFont val="Tahoma"/>
            <family val="2"/>
          </rPr>
          <t>Register Tabs</t>
        </r>
        <r>
          <rPr>
            <sz val="9"/>
            <color indexed="81"/>
            <rFont val="Tahoma"/>
            <family val="2"/>
          </rPr>
          <t xml:space="preserve"> mit unseren eigenen Schätzwerten (z.B. "Realistisch", "Vorsichtig", etc.) sind diese zwei Spalten (D, E) leer. Wenn Sie dort Schätzwerte händisch eintragen, überschreiben Sie damit temporär unsere Schätzwerte in den zwei Spalten links davon (B, C). So können Sie auch abseits von Ihren Schätzwerten in "Eigene Schätzung" sehr detallierte eigene Prognosen erstellen. 
- </t>
        </r>
        <r>
          <rPr>
            <u/>
            <sz val="9"/>
            <color indexed="81"/>
            <rFont val="Tahoma"/>
            <family val="2"/>
          </rPr>
          <t>Weißer Hintergrund</t>
        </r>
        <r>
          <rPr>
            <sz val="9"/>
            <color indexed="81"/>
            <rFont val="Tahoma"/>
            <family val="2"/>
          </rPr>
          <t xml:space="preserve">: Die Schätzwerte aus den Spalten D und E (bzw. wenn Sie keine gesetzt haben, aus B und C) werden dann für die Berechnung aller Werte in den Spalten rechts (ab F) übernommen. Jedoch NUR für jene, mit farbigem Hintergrund. Die Zellen ab Spalte F, die weißen Hintergrund haben, verlangen, dass Sie händisch Werte eintragen, für sie wird nicht auf Basis von Formeln und den Schätzwerten von B bis E ein Wert ermittelt. Üblicherweise hat das den Grund, dass für diese Quartale andere Zahlen gelten müssen, z.B., weil die App bis Mitte 2020 (d.h. 1. und 2. Quartal 2020) noch nicht fertiggestellt ist und daher viele Schätzwerte deutlich negativer ausfallen werden, als in den Formeln für die Zeit danach. 
- Eigene Schätzwerte können grundsätzlich überall, im gesamten File, eingetragen werden. Keine Zelle wurde gesperrt. Wenn sich darin aber bereits Formeln befunden haben, würden diese dadurch gelöscht werden. Daher empfehlen wir, eine Sicherungskopie des Files anzulegen, oder nur in einem Tab (z.B: "Ergebnis eigene Schätzung") die Zellen durch eigene Werte zu überschreiben. Oder Sie kopieren einen Register-Tab und arbeiten an der Kopie. 
</t>
        </r>
      </text>
    </comment>
    <comment ref="F2" authorId="0">
      <text>
        <r>
          <rPr>
            <b/>
            <sz val="9"/>
            <color indexed="81"/>
            <rFont val="Tahoma"/>
            <family val="2"/>
          </rPr>
          <t>Michael Schöggl:</t>
        </r>
        <r>
          <rPr>
            <sz val="9"/>
            <color indexed="81"/>
            <rFont val="Tahoma"/>
            <family val="2"/>
          </rPr>
          <t xml:space="preserve">
- By Q3 2020 connect will be in the alpha development phase, where many functions are still missing, usability is poor and our users will therefore jump out again quickly. 
- All values up to Q3 2020 cannot be compared with later values, therefore many were entered manually instead of calculated by formula.</t>
        </r>
      </text>
    </comment>
    <comment ref="G2" authorId="0">
      <text>
        <r>
          <rPr>
            <b/>
            <sz val="9"/>
            <color indexed="81"/>
            <rFont val="Tahoma"/>
            <family val="2"/>
          </rPr>
          <t xml:space="preserve">Michael Schöggl:
- </t>
        </r>
        <r>
          <rPr>
            <sz val="9"/>
            <color indexed="81"/>
            <rFont val="Tahoma"/>
            <family val="2"/>
          </rPr>
          <t>By Q3 2020 connect will be in the alpha development phase, where many functions are still missing, usability is poor and our users will therefore jump out again quickly. 
- All values up to Q3 2020 cannot be compared with later values, therefore many were entered manually instead of calculated by formula.</t>
        </r>
      </text>
    </comment>
    <comment ref="A3" authorId="1">
      <text>
        <r>
          <rPr>
            <b/>
            <sz val="9"/>
            <color indexed="81"/>
            <rFont val="Tahoma"/>
            <family val="2"/>
          </rPr>
          <t xml:space="preserve">e.com:
</t>
        </r>
        <r>
          <rPr>
            <sz val="9"/>
            <color indexed="81"/>
            <rFont val="Tahoma"/>
            <family val="2"/>
          </rPr>
          <t xml:space="preserve">
Für den Erfolg von connect sind vor allem die Userzahlen verantwortlich. 
</t>
        </r>
        <r>
          <rPr>
            <u/>
            <sz val="9"/>
            <color indexed="81"/>
            <rFont val="Tahoma"/>
            <family val="2"/>
          </rPr>
          <t>Wachstumsraten der erfolgreichsten Social Networks</t>
        </r>
        <r>
          <rPr>
            <sz val="9"/>
            <color indexed="81"/>
            <rFont val="Tahoma"/>
            <family val="2"/>
          </rPr>
          <t xml:space="preserve">: 
- im dritten Jahr hatten sie bereits mehr als 4 Millionen User (bis zu 355 Mio - WeChat)
- erst ab ca. 600 Millionen Usern weniger Wachstum als 50 % pro Jahr (davor deutlich mehr)
- siehe "Vergleich Wachstum Mitbewerber" (Register-Tab unten links)
</t>
        </r>
        <r>
          <rPr>
            <b/>
            <sz val="9"/>
            <color indexed="81"/>
            <rFont val="Tahoma"/>
            <family val="2"/>
          </rPr>
          <t xml:space="preserve">
Erklärungen:</t>
        </r>
        <r>
          <rPr>
            <sz val="9"/>
            <color indexed="81"/>
            <rFont val="Tahoma"/>
            <family val="2"/>
          </rPr>
          <t xml:space="preserve">
-</t>
        </r>
        <r>
          <rPr>
            <u/>
            <sz val="9"/>
            <color indexed="81"/>
            <rFont val="Tahoma"/>
            <family val="2"/>
          </rPr>
          <t xml:space="preserve"> Summe A</t>
        </r>
        <r>
          <rPr>
            <sz val="9"/>
            <color indexed="81"/>
            <rFont val="Tahoma"/>
            <family val="2"/>
          </rPr>
          <t xml:space="preserve"> (Zeile 8) zählt alle </t>
        </r>
        <r>
          <rPr>
            <u/>
            <sz val="9"/>
            <color indexed="81"/>
            <rFont val="Tahoma"/>
            <family val="2"/>
          </rPr>
          <t>neuen User</t>
        </r>
        <r>
          <rPr>
            <sz val="9"/>
            <color indexed="81"/>
            <rFont val="Tahoma"/>
            <family val="2"/>
          </rPr>
          <t xml:space="preserve"> abzüglich der Sättigung(!) zusammen, die </t>
        </r>
        <r>
          <rPr>
            <u/>
            <sz val="9"/>
            <color indexed="81"/>
            <rFont val="Tahoma"/>
            <family val="2"/>
          </rPr>
          <t>relativ unabhängig von der bisherigen User-Basis neu zu connect kommen</t>
        </r>
        <r>
          <rPr>
            <sz val="9"/>
            <color indexed="81"/>
            <rFont val="Tahoma"/>
            <family val="2"/>
          </rPr>
          <t xml:space="preserve"> (bezahlte Werbung, Medien-Berichte, organische Suche). Ohne diese Zugänge könnten wir zu Beginn nicht ausreichend viele User aufbauen, um über Summe B (Zeile 14) durch die Nutzung aller bisherigen User für Marketing-Maßnahmen prozentual weiter zu wachsen. 
- </t>
        </r>
        <r>
          <rPr>
            <u/>
            <sz val="9"/>
            <color indexed="81"/>
            <rFont val="Tahoma"/>
            <family val="2"/>
          </rPr>
          <t>Summe B</t>
        </r>
        <r>
          <rPr>
            <sz val="9"/>
            <color indexed="81"/>
            <rFont val="Tahoma"/>
            <family val="2"/>
          </rPr>
          <t xml:space="preserve"> (Zeile 14) zählt alle </t>
        </r>
        <r>
          <rPr>
            <u/>
            <sz val="9"/>
            <color indexed="81"/>
            <rFont val="Tahoma"/>
            <family val="2"/>
          </rPr>
          <t>neuen User</t>
        </r>
        <r>
          <rPr>
            <sz val="9"/>
            <color indexed="81"/>
            <rFont val="Tahoma"/>
            <family val="2"/>
          </rPr>
          <t xml:space="preserve"> abzüglich der Sättigung(!) zusammen, die </t>
        </r>
        <r>
          <rPr>
            <u/>
            <sz val="9"/>
            <color indexed="81"/>
            <rFont val="Tahoma"/>
            <family val="2"/>
          </rPr>
          <t>abhängig von der bisherigen User-Basis neu dazukommen</t>
        </r>
        <r>
          <rPr>
            <sz val="9"/>
            <color indexed="81"/>
            <rFont val="Tahoma"/>
            <family val="2"/>
          </rPr>
          <t xml:space="preserve">. Neben Mundpropaganda (1.5) sind das weitere "Tricks" (1.6 bis 1.9), um unsere bestehenden User als Werbebotschafter verwenden zu können.
- Von Summe A und B müssen dann noch unter 1.11 jene User abgezogen werden, die connect wieder verlassen. Wir rechnen hier mit einem einstellbaren Prozentsatz.
</t>
        </r>
        <r>
          <rPr>
            <b/>
            <sz val="9"/>
            <color indexed="81"/>
            <rFont val="Tahoma"/>
            <family val="2"/>
          </rPr>
          <t>Warum wird connect genauso schnell wie die erfolgreichsten Social Networks wachsen?</t>
        </r>
        <r>
          <rPr>
            <sz val="9"/>
            <color indexed="81"/>
            <rFont val="Tahoma"/>
            <family val="2"/>
          </rPr>
          <t xml:space="preserve">
- Andere Netzwerke wachsen meist nur durch bezahlte Werbung oder Mundpropaganda. 
- connect hat mindestens 4 zusätzliche, </t>
        </r>
        <r>
          <rPr>
            <b/>
            <sz val="9"/>
            <color indexed="81"/>
            <rFont val="Tahoma"/>
            <family val="2"/>
          </rPr>
          <t>einzigartige</t>
        </r>
        <r>
          <rPr>
            <sz val="9"/>
            <color indexed="81"/>
            <rFont val="Tahoma"/>
            <family val="2"/>
          </rPr>
          <t xml:space="preserve"> Zugänge mit multiplikativem</t>
        </r>
        <r>
          <rPr>
            <b/>
            <sz val="9"/>
            <color indexed="81"/>
            <rFont val="Tahoma"/>
            <family val="2"/>
          </rPr>
          <t xml:space="preserve"> Schnellball-Effekt</t>
        </r>
        <r>
          <rPr>
            <sz val="9"/>
            <color indexed="81"/>
            <rFont val="Tahoma"/>
            <family val="2"/>
          </rPr>
          <t xml:space="preserve">: 
- 1.3 Medien-Kooperationen durch die Medienschnittstelle: hunderte bis tausende Medien werden über uns kostenlos berichten, unser Erfolg ist auch ihr Erfolg
- 1.6 Multi-Messenger-Anhänge: durch "sent by connect" verbreitet jeder unserer User in seinem gesamten Kontakte-Netzwerk unseren Namen und erklärt auf Nachfrage hin, was connect ist
- 1.7 Multi-Messenger-Sharings in anderen Netzwerken: die Attraktivität von connect wird in Form von (360-Grad)-Videos und Fotos in allen anderen Netzwerken verbreitet
- 1.9 Initialisierte Mundpropaganda: durch unsere einzigartigen Klingeltöne und das Tresor-Mini-Spiele fallen unsere User in der Öffentlichkeit ständig auf
- connect hat mit Release im Jahr 2020 viel mehr zu bieten, als diese anderen Netzwerke bei ihrem Start (Multi-Media, VR, Video-Telefonie, Verschlüsselung, Individualisierung, virtuelles Eigentum, Spiele, virtuelle Haustiere, Multi-Messenger...)
- connect hebt sich sowohl optisch, als auch funktionell komplett von allen Konkurrenten ab, es gibt nichts Vergleichbares; connect ist technologisch führend und sehr verspielt für junge Menschen (VR, virtuelle Haustiere, individualisierbares Zuhause etc.)
- mit dem Multi-Messenger integriert connect die Stärken der anderen Netzwerke in sich selbst
- connect bietet maximalen Datenschutz, allein das ist ein Nutzungsgrund für Millionen Menschen und im Bereich VR ist das Neuland und von noch größerer Bedeutung (weil intimer, persönlicher)
</t>
        </r>
      </text>
    </comment>
    <comment ref="A4" authorId="1">
      <text>
        <r>
          <rPr>
            <b/>
            <sz val="9"/>
            <color indexed="81"/>
            <rFont val="Tahoma"/>
            <family val="2"/>
          </rPr>
          <t xml:space="preserve">e.com:
- </t>
        </r>
        <r>
          <rPr>
            <sz val="9"/>
            <color indexed="81"/>
            <rFont val="Tahoma"/>
            <family val="2"/>
          </rPr>
          <t>Diese Werte können auch manuell für jedes Quartal extra eingetragen werden, sinnvoller ist aber die Berechnung der Multiplikation aus Kosten pro neuem User (1.0) und der Werbeausgaben. Diese Werte daher am besten nicht manuell überschreiben, sondern indirekt durch die Änderungen in 1.0 und 3.12 erreichen.
- Das besondere an diesem Wert: Wir können ihn fast beliebig durch Werbeausgaben hochtreiben (und die Ausgaben werden mittelfristig deutlich unter den Einnahmen liegen), daher erlaubt er hohe Flexibilität. Selbst, wenn connect wider Erwarten nicht "von selbst" zum viralen Hit wird, durch entsprechende finanzielle Nachhilfe lässt sich der Erfolg mit Sicherheit erzielen. 
- Im Gegensatz zu vielen anderen Produkten und speziell VR-Apps hat connect eine fast unbegrenzte Zielgruppe, weil connect auch in 3D oder 2D und auf jedem Gerät erlebt werden kann und daher als maximale Zielgruppe Milliarden Menschen erreichen kann. Viele Menschen verwenden mehrere Soziale Netzwerke parallel zueinander, weshalb auch die Konkurrenz nicht zwingend unseren Erfolg bremsen muss. 
- Aber natürlich müsste der Marketing-Fokus sich auf die 3D-Versionen beziehen, wenn der VR-Markt "ausgeschöpft" sein sollte. Dieser VR-Markt ist aktuell (Ende 2019) noch sehr klein (rund 10 Mio Menschen), wird aber laut Prognosen in den kommenden 2-3 Jahren enorm anwachsen. In diesem Markt mitzuwachsen erlaubt ein besseres Kosten-Nutzen-Verhältnis, als ein Marketing-Fokus auf Nicht-VR-User (hier ist der Wettbewerb stärker und die Zielgruppe weniger Technik-affin), d.h. ein Wachstum abseits von VR wird teurer werden, aber sich wegen unserer vielen Geschäftsmodelle trotzdem noch lohnen.  
- Vermutlich kommt aber connect genau zum richtigen Zeitpunkt heraus, dass der VR-Markt schneller oder genauso schnell wächst, wie connect und wir den klassischen Social Network Markt auch ohne Marketing-Fokus einfach als Bonus mitnehmen können, ohne uns darauf konzentrieren zu müssen. -</t>
        </r>
      </text>
    </comment>
    <comment ref="B4" authorId="0">
      <text>
        <r>
          <rPr>
            <b/>
            <sz val="9"/>
            <color indexed="81"/>
            <rFont val="Tahoma"/>
            <family val="2"/>
          </rPr>
          <t xml:space="preserve">Michael Schöggl:
Diese Wert bitte in 3.13 einstellen, danke!
</t>
        </r>
        <r>
          <rPr>
            <sz val="9"/>
            <color indexed="81"/>
            <rFont val="Tahoma"/>
            <family val="2"/>
          </rPr>
          <t xml:space="preserve">
</t>
        </r>
        <r>
          <rPr>
            <b/>
            <sz val="9"/>
            <color indexed="81"/>
            <rFont val="Tahoma"/>
            <family val="2"/>
          </rPr>
          <t>Prozentsatz der Einnahmen, die wir pro Monat in bezahlte Werbung stecken.</t>
        </r>
        <r>
          <rPr>
            <sz val="9"/>
            <color indexed="81"/>
            <rFont val="Tahoma"/>
            <family val="2"/>
          </rPr>
          <t xml:space="preserve"> 
</t>
        </r>
        <r>
          <rPr>
            <u/>
            <sz val="9"/>
            <color indexed="81"/>
            <rFont val="Tahoma"/>
            <family val="2"/>
          </rPr>
          <t>Begründung für diesen Wert:</t>
        </r>
        <r>
          <rPr>
            <sz val="9"/>
            <color indexed="81"/>
            <rFont val="Tahoma"/>
            <family val="2"/>
          </rPr>
          <t xml:space="preserve">
- Dieser Wert hängt natürlich davon ab, wie viel uns jeder neue User tatsächlich kostet und ein Einnahmen bringt. 
- Auf Basis der aktuellen Schätzwerte ist klar, dass jeder User sehr rasch deutlich mehr Geld einbringt, als er kostet - weshalb es solange Sinn für uns macht, möglichst viel Geld in Werbung zu stecken, solange wir ein gutes Verhältnis der Kosten pro neuem User aufrechterhalten können. 
- Irgendwann sind bestimmte Marketingkanäle oder die Zielgruppe erschöpft und bei anderen Zugängen sind die Kosten pro neuem User höher, eventuell zu hoch. Darum gibt es in der Spalte rechts auch einen Grenzwert, wie viel Geld wir maximal pro Monat in bezahlte Werbung stecken sollten.
- Dieser Wert ist absichtlich ein Prozentwert von den Einnahmen, weil wir damit nicht riskieren würden, uns zu stark zu verschulden. 
- Mit entsprechendem Investment könnten wir natürlich auch unabhängig von den Einnahmen deutlich mehr Geld für bezahlte Werbung ausgeben und viel schneller wachsen. Wie die Zahlen in dieser Tabelle und bei vergleichbaren, erfolgreichen Social Networks zeigen (die teilweise Wachstumsraten von mehr als 500% pro Jahr haben - über die ersten 2-4 Jahre hinweg), entwicklen sich die Einnahmen und Userzahlen fast exponentiell, was bedeutet, dass es durchaus Sinn machen würde, den Start gewaltig zu beschleunigen, weil wir dann auch viel schneller in die schwarzen Zahlen kommen. 
- Weil wir x % der Einnahmen in Werbung investieren, ist die Entwicklung der Userzahlen "noch" exponentieller als ohnehin schon, schließlich bekommen wir durch mehr User mehr Einnahmen und investieren einen Teil dieser Einnahmen wieder in die Akquise neuer User. Der Kreislauf dreht sich immer schneller.</t>
        </r>
      </text>
    </comment>
    <comment ref="C4" authorId="0">
      <text>
        <r>
          <rPr>
            <b/>
            <sz val="9"/>
            <color indexed="81"/>
            <rFont val="Tahoma"/>
            <family val="2"/>
          </rPr>
          <t>Michael Schöggl:
Diesen Wert bitte in 3.13 einstellen, danke.</t>
        </r>
        <r>
          <rPr>
            <sz val="9"/>
            <color indexed="81"/>
            <rFont val="Tahoma"/>
            <family val="2"/>
          </rPr>
          <t xml:space="preserve">
</t>
        </r>
        <r>
          <rPr>
            <b/>
            <sz val="9"/>
            <color indexed="81"/>
            <rFont val="Tahoma"/>
            <family val="2"/>
          </rPr>
          <t xml:space="preserve">Obergrenze. Wieviel € sollen maximalen pro Monat für Werbung ausgegeben werden?
</t>
        </r>
        <r>
          <rPr>
            <u/>
            <sz val="9"/>
            <color indexed="81"/>
            <rFont val="Tahoma"/>
            <family val="2"/>
          </rPr>
          <t>Begründung für diesen Wert</t>
        </r>
        <r>
          <rPr>
            <sz val="9"/>
            <color indexed="81"/>
            <rFont val="Tahoma"/>
            <family val="2"/>
          </rPr>
          <t xml:space="preserve">:
- Es lassen sich nicht unbegrenzt viele Menschen monatlich mit bezahlter Werbung erreichen, ohne dass die Kosten pro neuem User durch Ineffizienz der Werbezugänge deutlich ansteigen. 
- Der Wert mit 10.000.000 € ist extrem hoch gewählt, weil es für ein Produkt wie connect a.) extrem viele verschiedene Möglichkeiten gibt, effektiv Werbung zu machen, und wir b.) bei den aktuellen Schätzungen auch genügend finanzielle Mittel hätten, um die besten Marketing-Profis weltweit einsetzen zu können.
- Solange uns jeder neue User weniger kostet, als er (mittelfristig) bringt, lohnt es sich, so viel Geld wie möglich in Werbung und Wachstum zu stecken. </t>
        </r>
        <r>
          <rPr>
            <sz val="9"/>
            <color indexed="81"/>
            <rFont val="Tahoma"/>
            <family val="2"/>
          </rPr>
          <t xml:space="preserve">
</t>
        </r>
      </text>
    </comment>
    <comment ref="A5" authorId="1">
      <text>
        <r>
          <rPr>
            <b/>
            <sz val="9"/>
            <color indexed="81"/>
            <rFont val="Tahoma"/>
            <family val="2"/>
          </rPr>
          <t xml:space="preserve">e.com:
</t>
        </r>
        <r>
          <rPr>
            <sz val="9"/>
            <color indexed="81"/>
            <rFont val="Tahoma"/>
            <family val="2"/>
          </rPr>
          <t xml:space="preserve">
- Unser Ziel wird es sein, im App-Store-Ranking und auch bei Steam in den Listen ganz weit oben zu landen. Wenn uns das gelingt, erreichen wir allein über die organische Suche (weil connect kostenlos und neuartig ist) zuverlässig tausende neue User pro Monat.
- Bereits wenige Wochen nach der stillen Veröffentlichung - mit einer unfertigen Version, ohne jegliche Marketing-Maßnahmen oder ernste App-Store-Optimierungen wird connect von rund 2000 neuen Usern pro Monat auf Steam heruntergeladen, auch wenn die App als Early Access in praktisch keiner Liste auftaucht (das ändert sich mit dem Release 2020). 
- Auch im Google Play Store erhalten wir täglich zwischen 10 und 50 Downloads, Tendenz steigend. 
- connect wird auch für PlayStation (VR) veröffentlicht und dort ganz sicher - mangels Konkurrenz und weil es kostenlos ist - von den bestehenden rund 400.000 neuen PlayStation-VR-Usern pro Quartal (Tendenz stark steigend) einen mindestens 1-3%igen Anteil der User erreichen können - ohne Werbekosten. Gerade die PlayStation hat ein gewaltiges Potential, weil es hier praktisch keine Alternativen gibt - auch nicht in absehbarer Zukunft. Schon gar keinen Multimessenger, mit dem man Mails, FB-Nachrichten, SMS und mehr schreiben kann. 
- Die Organische Suche über App-Store-Ranking reicht bei manchen Spielen aus, um in wenigen Monaten hunderttausende neue User zu erreichen. Wir werden einen großen Fokus darauf legen, in all diesen "Stores" (für alle unterstütze Geräte) maximale Sichtbarkeit zu erzielen. Die Schätzwerte hier sind also überaus vorsichtig, da connect kostenlos ist, könnte hier deutlich mehr Schwung reinkommen, sobald wir im Ranking ganz oben sind. </t>
        </r>
      </text>
    </comment>
    <comment ref="B5" authorId="0">
      <text>
        <r>
          <rPr>
            <b/>
            <sz val="9"/>
            <color indexed="81"/>
            <rFont val="Tahoma"/>
            <family val="2"/>
          </rPr>
          <t xml:space="preserve">Michael Schöggl:
</t>
        </r>
        <r>
          <rPr>
            <sz val="9"/>
            <color indexed="81"/>
            <rFont val="Tahoma"/>
            <family val="2"/>
          </rPr>
          <t xml:space="preserve">
</t>
        </r>
        <r>
          <rPr>
            <b/>
            <sz val="9"/>
            <color indexed="81"/>
            <rFont val="Tahoma"/>
            <family val="2"/>
          </rPr>
          <t>Um welchen Fixwert steigert sich die Anzahl der neuen User durch organische Suche pro Quartal?</t>
        </r>
        <r>
          <rPr>
            <sz val="9"/>
            <color indexed="81"/>
            <rFont val="Tahoma"/>
            <family val="2"/>
          </rPr>
          <t xml:space="preserve">
</t>
        </r>
        <r>
          <rPr>
            <u/>
            <sz val="9"/>
            <color indexed="81"/>
            <rFont val="Tahoma"/>
            <family val="2"/>
          </rPr>
          <t>Begründung für diesen Wert</t>
        </r>
        <r>
          <rPr>
            <sz val="9"/>
            <color indexed="81"/>
            <rFont val="Tahoma"/>
            <family val="2"/>
          </rPr>
          <t>:
- Die Steigerung liegt u.a. daran, dass wir im Ranking weiter aufsteigen, je mehr Downloads wir erhalten und dadurch viel einfacher zu finden sind. Außerdem werden wir unseren App-Store-Auftritt optimieren (ASO) (u.a. weil wir zunehmend mehr Geld und damit auch Möglichkeiten in durch Outsourcing-Profis haben).
- Für mehr Argumente siehe Spalte rechts.</t>
        </r>
      </text>
    </comment>
    <comment ref="C5" authorId="0">
      <text>
        <r>
          <rPr>
            <b/>
            <sz val="9"/>
            <color indexed="81"/>
            <rFont val="Tahoma"/>
            <family val="2"/>
          </rPr>
          <t xml:space="preserve">Michael Schöggl:
</t>
        </r>
        <r>
          <rPr>
            <sz val="9"/>
            <color indexed="81"/>
            <rFont val="Tahoma"/>
            <family val="2"/>
          </rPr>
          <t xml:space="preserve">
</t>
        </r>
        <r>
          <rPr>
            <b/>
            <sz val="9"/>
            <color indexed="81"/>
            <rFont val="Tahoma"/>
            <family val="2"/>
          </rPr>
          <t>Um wie viel Prozent erhöht sich der Wert pro Quartal?</t>
        </r>
        <r>
          <rPr>
            <sz val="9"/>
            <color indexed="81"/>
            <rFont val="Tahoma"/>
            <family val="2"/>
          </rPr>
          <t xml:space="preserve">
</t>
        </r>
        <r>
          <rPr>
            <u/>
            <sz val="9"/>
            <color indexed="81"/>
            <rFont val="Tahoma"/>
            <family val="2"/>
          </rPr>
          <t>Begründung für diesen Wert</t>
        </r>
        <r>
          <rPr>
            <sz val="9"/>
            <color indexed="81"/>
            <rFont val="Tahoma"/>
            <family val="2"/>
          </rPr>
          <t xml:space="preserve">:
- Die Steigerung wird nicht linear sein (also immer um einen Fixwert pro Quartal mehr), sondern umso stärker zunehmen, je bekannter die App wird und umso weiter sie auch im Ranking aufsteigt. 
- Wenn wir z.B. unter den Top 10 landen, dürfen wir allein dadurch mit Millionen Views pro Monat rechnen und insofern auch problemlos mit mehreren tausend neuen Usern. 
- Bis Ende 2022 sollte uns ein Platz unter den Top 10 für einige wichtige Keywords bzw. Kategorien gelingen. Mit entsprechendem Kapital lässt sich das aber schon viel früher erreichen.
- Wir werden einen starken Fokus auf App-Store-Optimierung legen und auch Zeit und Geld investieren, um auf möglichst vielen Plattformen möglichst einfach gefunden zu werden. Diese Investments sind primär Personalkosten (3.2), weshalb sich eine eigene Darstellung hier nicht lohnt.
- Umso vielseitiger connect (funktionell) wird, umso mehr Keywords passen für die organische Suche und umso höher steigen wir auch bei neuen Keywords im Ranking auf. 
- Wenn Partner oder Medien auf uns mit Links verweisen, beeinflußt das unser Ranking ebenso positiv. 
- Wir werden auch später Usern für (positive) Bewertungen In-App-Gegenleistungen geben, je positiver die Bewertung, umso höher steigen wir im Ranking. 
- Je mehr Downloads wir bereits erzielt haben, umso höher steigen wir im Ranking und umso mehr finden uns durch organische Suche.
- Unser CTO hat ganz alleine Apps programmiert, die mehr als 600 User </t>
        </r>
        <r>
          <rPr>
            <i/>
            <sz val="9"/>
            <color indexed="81"/>
            <rFont val="Tahoma"/>
            <family val="2"/>
          </rPr>
          <t>pro Tag</t>
        </r>
        <r>
          <rPr>
            <sz val="9"/>
            <color indexed="81"/>
            <rFont val="Tahoma"/>
            <family val="2"/>
          </rPr>
          <t xml:space="preserve"> an Downloads ohne irgendwelche Marketing-Maßnahmen allein aufgrund der organischen Suche verzeichnen (d.h. 18.000 im Monat). Unsere Werte hier sind sehr bescheiden.</t>
        </r>
      </text>
    </comment>
    <comment ref="A6" authorId="1">
      <text>
        <r>
          <rPr>
            <b/>
            <sz val="9"/>
            <color indexed="81"/>
            <rFont val="Tahoma"/>
            <family val="2"/>
          </rPr>
          <t xml:space="preserve">e.com:
Violette Marketing-Zugänge sind neuartige Konzepte von connect, die anderen Social Networks nicht zur Verfügung standen, oder zumindest nicht in diesem Ausmaß </t>
        </r>
        <r>
          <rPr>
            <sz val="9"/>
            <color indexed="81"/>
            <rFont val="Tahoma"/>
            <family val="2"/>
          </rPr>
          <t>(z.B. Medien direkt zur Berichterstattung zu motivieren (1.3) bzw. Usern für das Werben neuer User eine interessante Belohnung in Form von limitierten, exklusive In-App-Inhalten wie virtuellen Haustieren, etc. zu geben, die sie auch wirklich wollen (1.8))</t>
        </r>
        <r>
          <rPr>
            <b/>
            <sz val="9"/>
            <color indexed="81"/>
            <rFont val="Tahoma"/>
            <family val="2"/>
          </rPr>
          <t xml:space="preserve">. 
</t>
        </r>
        <r>
          <rPr>
            <sz val="9"/>
            <color indexed="81"/>
            <rFont val="Tahoma"/>
            <family val="2"/>
          </rPr>
          <t xml:space="preserve">
- Ab Q3 in 2020 ist connect fertig und wir werden bis dahin aufgebaute Medien-Kooperationen nutzen, um connect durch Berichterstattung bekannt zu machen.
- Bis dahin werden wir auch genügend Testuser haben, um den Medien unser Thema als berichtenswert zu verkaufen. 
- Manche Medien erreichen Millionen Menschen, wir haben die Kontaktdaten von 200.000 Medien weltweit, denen wir anbieten können, unsere Medienschnittstelle kostenlos verwenden zu können, wenn sie dafür über uns berichten. 
- Zu Beginn wird das Interesse zaghaft sein, aber wenn wir ein paar größere Medien durch persönliche Bemühungen überzeugen konnten, werden rasch immer mehr Medie mehr auf den "Zug aufspringen" und sich die kostenlose Schnittstelle durch Berichterstattung sichern.
- Die Medien müssen regelmäßig für die Schjnittstelle berichten und langfristig werden fast alle Medien ein Interesse haben, weil wir kostenlose neue Kunden bringen, über ein bereits an Fahrt gewinnendes neues Social Network in VR (bzw. die Verwirklichung von Träumen) zu berichten.</t>
        </r>
      </text>
    </comment>
    <comment ref="B6" authorId="0">
      <text>
        <r>
          <rPr>
            <b/>
            <sz val="9"/>
            <color indexed="81"/>
            <rFont val="Tahoma"/>
            <family val="2"/>
          </rPr>
          <t>Michael Schöggl:</t>
        </r>
        <r>
          <rPr>
            <sz val="9"/>
            <color indexed="81"/>
            <rFont val="Tahoma"/>
            <family val="2"/>
          </rPr>
          <t xml:space="preserve">
</t>
        </r>
        <r>
          <rPr>
            <b/>
            <sz val="9"/>
            <color indexed="81"/>
            <rFont val="Tahoma"/>
            <family val="2"/>
          </rPr>
          <t>Von wievielen neuen Usern durch Medienberichte gehen wir zu Beginn aus?</t>
        </r>
        <r>
          <rPr>
            <sz val="9"/>
            <color indexed="81"/>
            <rFont val="Tahoma"/>
            <family val="2"/>
          </rPr>
          <t xml:space="preserve"> (danach nur noch prozentuale Steigerung)
</t>
        </r>
        <r>
          <rPr>
            <u/>
            <sz val="9"/>
            <color indexed="81"/>
            <rFont val="Tahoma"/>
            <family val="2"/>
          </rPr>
          <t>Begründung für diesen Wert:</t>
        </r>
        <r>
          <rPr>
            <sz val="9"/>
            <color indexed="81"/>
            <rFont val="Tahoma"/>
            <family val="2"/>
          </rPr>
          <t xml:space="preserve">
- 100 neue User pro Monat durch Medienberichte sind realistisch, das entspricht ca. 1-2 kleineren Berichten im Monat. Wir haben bereits fixe Zusagen von z.B. der Antenne Steiermark und Kärnten, dass sie mehrmals über uns berichten wollen. 
- Auch gab es vor Veröffentlichung der ersten Testversionen bereits ca. 30 Medienberichte über uns, u.a. vom ORF, Kleine Zeitung, Der Standard, OE24 (3 Berichte) und KroneHit. Leider waren all diese Medienberichte zu früh, die Interessierten hatten noch keine App, die sie probieren konnten, teilweise noch nicht einmal einen Homepage-Link. Wir warten nun absichtlich, bis connect einen guten Eindruck bei allen Testern hinterlässt, bevor wir erneut Zeit und Energie in die Medienberichterstattung stecken. Durch unsere Medienschnittstelle werden wir sehr leicht Berichterstattung erhalten, sobald connect fertiggestellt ist und ein positives Kundenerlebnis gewährleistet.
- Die Kronenzeitung und die Kleine Zeitung haben einer (weiteren) Berichterstattung bereits zugesagt. Rund 15 kleinere VR-Netzwerke haben bereits (lange vor einer testbaren Version und somit fast wirkungslos) berichtet und werden ziemlich sicher wieder berichten.
</t>
        </r>
      </text>
    </comment>
    <comment ref="C6" authorId="0">
      <text>
        <r>
          <rPr>
            <b/>
            <sz val="9"/>
            <color indexed="81"/>
            <rFont val="Tahoma"/>
            <family val="2"/>
          </rPr>
          <t>Michael Schöggl:</t>
        </r>
        <r>
          <rPr>
            <sz val="9"/>
            <color indexed="81"/>
            <rFont val="Tahoma"/>
            <family val="2"/>
          </rPr>
          <t xml:space="preserve">
</t>
        </r>
        <r>
          <rPr>
            <b/>
            <sz val="9"/>
            <color indexed="81"/>
            <rFont val="Tahoma"/>
            <family val="2"/>
          </rPr>
          <t>Um wieviel Prozent der aktuellen Userzahl steigen die neuen User durch Medienberichte pro Monat?</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eher werden Medien über uns berichten wollen. 
- Je mehr User wir haben, umso mehr Medien werden an unserer Medienschnittstelle interessiert sein (und berichten, um sie kostenlos verwenden zu können). 
- Folglich wird dieser Wert auch ohne Kosten für uns mit unserer User-Basis mit anwachsen. 
- 2 % Wachstum pro Monat bedeutet, dass durch die Berichterstattung der Medien unsere Userzahl pro Jahr um nicht ganz 25 % wächst. 
- Dieser Wert ist womöglich viel zu pessimistisch, da es viele Soziale Netzwerke, Spiele oder Trends gibt, die innerhalb kürzester Zeit (nachdem die Medien über sie berichten) "explodieren" (d.h. mehrere hundert bis tausend Prozent Wachstum pro Jahr, bis sie eine gewisse Größe erreicht haben und es keine Zielgruppe mehr für sie gibt). Siehe z.B. Pokemon Go. 
- Im Gegensatz zu anderen Netzwerken bieten wir den Medien für ihre Berichterstattung eine Gegenleistung durch unsere Medienschnittstelle und lassen sie an unserem Erfolg teilhaben.</t>
        </r>
      </text>
    </comment>
    <comment ref="A7" authorId="1">
      <text>
        <r>
          <rPr>
            <b/>
            <sz val="9"/>
            <color indexed="81"/>
            <rFont val="Tahoma"/>
            <family val="2"/>
          </rPr>
          <t xml:space="preserve">e.com:
</t>
        </r>
        <r>
          <rPr>
            <sz val="9"/>
            <color indexed="81"/>
            <rFont val="Tahoma"/>
            <family val="2"/>
          </rPr>
          <t xml:space="preserve">
- Ab 2021 sollten wir genügend User haben, um für Product Placement Partner, Medien-Partner, Online-Shops und Drittanbieter interessant genug zu sein. 
- Ab diesem Zeitpunkt werden diese Anbieter auf ihre eigenen Leistungen in connect hinweisen und dadurch indirekt für uns Werbung machen. Primär gilt dies natürlich für Drittanbieter und verknüpfte Online-Shops, Medien-Berichterstattung wird unter 1.3 extra angeführt und Product Placement Partner werden weniger aktiv sein.</t>
        </r>
      </text>
    </comment>
    <comment ref="B7" authorId="0">
      <text>
        <r>
          <rPr>
            <b/>
            <sz val="9"/>
            <color indexed="81"/>
            <rFont val="Tahoma"/>
            <family val="2"/>
          </rPr>
          <t>Michael Schöggl:</t>
        </r>
        <r>
          <rPr>
            <sz val="9"/>
            <color indexed="81"/>
            <rFont val="Tahoma"/>
            <family val="2"/>
          </rPr>
          <t xml:space="preserve">
</t>
        </r>
        <r>
          <rPr>
            <b/>
            <sz val="9"/>
            <color indexed="81"/>
            <rFont val="Tahoma"/>
            <family val="2"/>
          </rPr>
          <t xml:space="preserve">Von wievielen neuen Usern durch die Werbung unserer Partner </t>
        </r>
        <r>
          <rPr>
            <sz val="9"/>
            <color indexed="81"/>
            <rFont val="Tahoma"/>
            <family val="2"/>
          </rPr>
          <t>(u.a. Online-Shopping, VR-Shops, Drittanbieter, etc.)</t>
        </r>
        <r>
          <rPr>
            <b/>
            <sz val="9"/>
            <color indexed="81"/>
            <rFont val="Tahoma"/>
            <family val="2"/>
          </rPr>
          <t xml:space="preserve"> gehen wir zu Beginn aus?</t>
        </r>
        <r>
          <rPr>
            <sz val="9"/>
            <color indexed="81"/>
            <rFont val="Tahoma"/>
            <family val="2"/>
          </rPr>
          <t xml:space="preserve"> (danach nur noch prozentuale Steigerung)
</t>
        </r>
        <r>
          <rPr>
            <u/>
            <sz val="9"/>
            <color indexed="81"/>
            <rFont val="Tahoma"/>
            <family val="2"/>
          </rPr>
          <t>Begründung für diesen Wert:</t>
        </r>
        <r>
          <rPr>
            <sz val="9"/>
            <color indexed="81"/>
            <rFont val="Tahoma"/>
            <family val="2"/>
          </rPr>
          <t xml:space="preserve">
- Im Gegenzug zu günstigeren Konditionen könnten unsere Partner indirekt für uns werben (z.B. indem sie darauf hinweisen, dass ihre Produkte auch in einem VR-Shop - erreichbar z.B. über connect - gekauft werden können). 
- Drittanbieter werden automatisch auf uns verweisen müssen, um ihre Inhalte verkaufen zu können. 
- Wenn connect erfolgreich wird, werden ähnlich wie bei anderen Netzwerken viele Unternehmen in ihrem Erfolg von uns abhängig - somit werden wir automatisch auch zum Thema von Gesprächen oder Öffentlichkeitsarbeit etc. gemacht.
- Wir rechnen ohnehin erst ab 2021 mit Partnern (auch wenn es bereits fast ein Dutzend konkrete Interessenten gibt), bis dahin ist ein Startwert von 100 sehr realistisch.
- Dieser Wert hast praktisch keine Bedeutung, die Steigerung basiert nur auf dem prozentualen Wert, dieser Wert fließt nur insofern ein, dass er jeden Monat als "Fixwert" miteinfließt.</t>
        </r>
      </text>
    </comment>
    <comment ref="C7" authorId="0">
      <text>
        <r>
          <rPr>
            <b/>
            <sz val="9"/>
            <color indexed="81"/>
            <rFont val="Tahoma"/>
            <family val="2"/>
          </rPr>
          <t xml:space="preserve">Michael Schöggl:
</t>
        </r>
        <r>
          <rPr>
            <sz val="9"/>
            <color indexed="81"/>
            <rFont val="Tahoma"/>
            <family val="2"/>
          </rPr>
          <t xml:space="preserve">
</t>
        </r>
        <r>
          <rPr>
            <b/>
            <sz val="9"/>
            <color indexed="81"/>
            <rFont val="Tahoma"/>
            <family val="2"/>
          </rPr>
          <t>Um wieviel Prozent der aktuellen Userzahl steigen die neuen User durch Medienberichte pro Monat?</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mehr Partner haben wir und umso stärker kommen wir automatisch ins Gespräch oder rücken in die Öffentlichkeit. 
- Vor allem Drittanbieter und VR-Shops sind von uns abhängig, wenn sie für die eigenen Angebote werben wollen, müssen sie indirekt auch für uns werben. Denn kaum ein User lädt eine eigene App herunter, um z.B. im VR-Shop eines regionalen Unternehmens (das er nicht einmal kennt) virtuell einkaufen gehen zu können.
- Ein Wachstum von 0,4 % pro Monat entspricht knapp 5 % Wachstum der gesamten Userzahl pro Jahr aufgrund der indirekten Werbung unserer Partner.
- Wenn Drittanbieter Inhalte anbieten (z.B. virtuelle Haustiere oder alternative VR-Szenen wie das Piratenschiff aus Fluch der Karibik), die sich nur in Verbindung mit connect verwenden lassen (was wir durch Exklusiv-Verträge steigern können), dann muss sich jeder, der diese Inhalte will, zuvor connect holen.</t>
        </r>
      </text>
    </comment>
    <comment ref="A8"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Für eine realistische Einschätzung der Userzahlen-Entwicklung müssen wir von einer Sättigung der Zielgruppe ausgehen, bzw. von einer Zielgruppen-Obergrenze. </t>
        </r>
        <r>
          <rPr>
            <sz val="9"/>
            <color indexed="81"/>
            <rFont val="Tahoma"/>
            <family val="2"/>
          </rPr>
          <t xml:space="preserve">
</t>
        </r>
        <r>
          <rPr>
            <u/>
            <sz val="9"/>
            <color indexed="81"/>
            <rFont val="Tahoma"/>
            <family val="2"/>
          </rPr>
          <t>Wir verwenden 2 Werte</t>
        </r>
        <r>
          <rPr>
            <sz val="9"/>
            <color indexed="81"/>
            <rFont val="Tahoma"/>
            <family val="2"/>
          </rPr>
          <t xml:space="preserve">:
- maximale Zielgruppe bis Ende 2020: Primär VR-User (und Gamer für die 3D-Nutzung), weil sich unser Marketing auf diese Zielgruppe konzentriert; natürlich können wir aber auch darüber hinaus Menschen ansprechen.
- maximale Zielgruppe ab 2021: Alle Social Media bzw. Network und Messenger Nutzer, jedoch nur jene, für die connect - auch OHNE den virtuellen Raum - einen ausreichend großen Mehrwert bietet (Multi-Messenger, Datenschutz, Multimedia, Geräteunabhängigkeit, etc.), schließlich haben wir Konkurrenz und unser Produkt wird selbst dann, wenn wir alles individualisierbar machen und verschiedene Versionen rausbringen, niemals alle Menschen ansprechen können
</t>
        </r>
        <r>
          <rPr>
            <u/>
            <sz val="9"/>
            <color indexed="81"/>
            <rFont val="Tahoma"/>
            <family val="2"/>
          </rPr>
          <t>Erklärung zu den Auswirkungen dieser Werte</t>
        </r>
        <r>
          <rPr>
            <sz val="9"/>
            <color indexed="81"/>
            <rFont val="Tahoma"/>
            <family val="2"/>
          </rPr>
          <t xml:space="preserve">:
- Die Berechnung erfolgt so, dass je stärker sich unsere Userzahlen diesen Grenzwerten nähern, die Akquise neuer User umso unwahrscheinlicher wird.
- Bei 0 Usern und einer Grenze von 300, ist die Akquise-Rate bei 100%. 
- Bei 200 Usern und einer Grenze von 300, ist sie nur noch bei 0,33%.
- Alle Wachstumswerte (bis auf die negativen Absprünge, siehe 1.11) sind von diesem Multiplikator betroffen und sinken entsprechend der Annäherung zur Zielgruppen-Obergrenze immer stärker Richtung 0.
- Diese Berechnungen sind absichtlich sehr vorsichtig und limitierend. Eigentlich wächst der VR Markt laut Prognosen stark an und genau genommen könnten wir langfristig durchaus 2 Milliarden Menschen, bzw. bereits 2021 eine Zielgruppe abseits der VR-User erreichen. Aber unsere Werte sind zu gut um glaubwürdig zu sein, wenn sie nicht mit so einer Obergrenze gebremst werden, daher dieses Korrektiv.
</t>
        </r>
      </text>
    </comment>
    <comment ref="B8" authorId="0">
      <text>
        <r>
          <rPr>
            <b/>
            <sz val="9"/>
            <color indexed="81"/>
            <rFont val="Tahoma"/>
            <family val="2"/>
          </rPr>
          <t xml:space="preserve">Michael Schöggl:
Wie groß ist unsere </t>
        </r>
        <r>
          <rPr>
            <b/>
            <i/>
            <sz val="9"/>
            <color indexed="81"/>
            <rFont val="Tahoma"/>
            <family val="2"/>
          </rPr>
          <t>primäre</t>
        </r>
        <r>
          <rPr>
            <b/>
            <sz val="9"/>
            <color indexed="81"/>
            <rFont val="Tahoma"/>
            <family val="2"/>
          </rPr>
          <t xml:space="preserve"> Zielgruppe, die wir bis Ende 2020 erreichen können? - </t>
        </r>
        <r>
          <rPr>
            <b/>
            <u/>
            <sz val="9"/>
            <color indexed="81"/>
            <rFont val="Tahoma"/>
            <family val="2"/>
          </rPr>
          <t>Bezogen auf Werbezugänge und Medienberichte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Zu Beginn Fokus auf VR-User, weil wir diesen den größten Mehrwert bieten und Gamer eine sehr dankbare, zahlkräftige Zielgruppe sind. 2019 sind das mindestens 10 Millionen User weltweit, die wir über unsere aktuell unterstützten Geräte (Android, HTC Vive, Oculus) und Plattformen (Play Store und Steam) erreichen können.
- Bis Mitte 2020: Fertigstellung der "connect Basic"-Version, d.h. einer nativen Android und iOS Version von connect, die dieselben Funktionen umfasst, aber in einem simplen 2D-Design (vlg. WhatsApp und Co). Diese Version unterstützt dann wirklich alle Smartphones und läuft genauso schnell, wie WhatsApp und Co, mit Fokus auf Multi-Messenger, Multimedia und Verschlüsselung zielt sie auf den konservativeren, weniger verspielten Massenmarkt ab, bis VR sich endgültig durchgesetzt hat.
- Bis Mitte 2020: Fertigstellung der PlayStation-Version und der iOS-Version.
- Bis Ende 2020: Fertigstellung des Multi-Messengers für alle Geräte (inklusive PlayStation und iOS) und alle größeren Netzwerke (u.a. zusätzlich WhatsApp, WeChat, Snapchat, Skype, Twitter, Instagram etc.). 
- Ab 2021 Fokus auf neue Zielgruppe: alle Social Network / Messenger-User weltweit; bis dahin haben wir genug Funktionen (z.B. Multi-Messenger) und Inhalte (z.B. Medien-Inhalte der Partner) um auch den Massenmarkt anzusprechen. Unsere bisherigen VR-/3D-User werden als treue Fans zu Mundpropaganda motiviert (siehe 1.7 bis 1.9).
</t>
        </r>
      </text>
    </comment>
    <comment ref="C8" authorId="0">
      <text>
        <r>
          <rPr>
            <b/>
            <sz val="9"/>
            <color indexed="81"/>
            <rFont val="Tahoma"/>
            <family val="2"/>
          </rPr>
          <t>Michael Schöggl:</t>
        </r>
        <r>
          <rPr>
            <sz val="9"/>
            <color indexed="81"/>
            <rFont val="Tahoma"/>
            <family val="2"/>
          </rPr>
          <t xml:space="preserve">
</t>
        </r>
        <r>
          <rPr>
            <b/>
            <sz val="9"/>
            <color indexed="81"/>
            <rFont val="Tahoma"/>
            <family val="2"/>
          </rPr>
          <t xml:space="preserve">
Wie groß ist unsere </t>
        </r>
        <r>
          <rPr>
            <b/>
            <i/>
            <sz val="9"/>
            <color indexed="81"/>
            <rFont val="Tahoma"/>
            <family val="2"/>
          </rPr>
          <t>primäre</t>
        </r>
        <r>
          <rPr>
            <b/>
            <sz val="9"/>
            <color indexed="81"/>
            <rFont val="Tahoma"/>
            <family val="2"/>
          </rPr>
          <t xml:space="preserve"> Zielgruppe, die wir ab 2020 erreichen können? - </t>
        </r>
        <r>
          <rPr>
            <b/>
            <u/>
            <sz val="9"/>
            <color indexed="81"/>
            <rFont val="Tahoma"/>
            <family val="2"/>
          </rPr>
          <t>Bezogen auf Werbezugänge und Medienberichte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Das internationale Interesse an Social Networks, Social Media, Messenger, VR, neuen Technologien und Apps ist sehr groß, gerade auch was Medienberichte oder die organische Suche im App-Store etc. betrifft. Daher sollte hier genügend "Luft nach oben" für unsere Werbezugänge 1.1 bis 1.4 sein. 
- Wir können langfristig fast allen Medien (Video, Audio, Print, Internet, VR - für praktisch jedes Thema) durch unseren VR-Zugang - bzw. die klassische 2D-Anzeige in einer Multimedia-App - etwas bieten und sie daher auch zur Berichterstattung motivieren.
- Trotzdem werden die Werte realistischer, wenn wir eine Obergrenze von rund 300 Millionen festlegen, da dies ungefähr die Anzahl der Menschen ist, denen connect einen ausreichend großen Mehrwert bietet und die wir mit unserem Design und unseren Funktionen ansprechen. 
- Diese "Bremse" ist aber eigentlich nicht notwendig, denn mit neuen Versionen (z.B. ohne 3D, als klassische 2D-Variante), mehr unterstützten Geräten, maximaler Individualisierbarkeit und zukünftigen, neuen, noch nicht beschriebenen Funktionen können wir unsere Zielgruppe bestimmt schneller weitern, als wir wachsen.</t>
        </r>
      </text>
    </comment>
    <comment ref="J8" authorId="0">
      <text>
        <r>
          <rPr>
            <b/>
            <sz val="9"/>
            <color indexed="81"/>
            <rFont val="Tahoma"/>
            <family val="2"/>
          </rPr>
          <t xml:space="preserve">Michael Schöggl:
</t>
        </r>
        <r>
          <rPr>
            <sz val="9"/>
            <color indexed="81"/>
            <rFont val="Tahoma"/>
            <family val="2"/>
          </rPr>
          <t xml:space="preserve">
Summe neue User durch 1.1 bis 1.4 </t>
        </r>
        <r>
          <rPr>
            <u/>
            <sz val="9"/>
            <color indexed="81"/>
            <rFont val="Tahoma"/>
            <family val="2"/>
          </rPr>
          <t>pro Jahr</t>
        </r>
        <r>
          <rPr>
            <sz val="9"/>
            <color indexed="81"/>
            <rFont val="Tahoma"/>
            <family val="2"/>
          </rPr>
          <t>. Die Werte links davon sind pro Monat und nicht pro Quartal, das hier ist also nicht die Summe der Werte links, sondern das Jahresergebnis.</t>
        </r>
      </text>
    </comment>
    <comment ref="A9" authorId="1">
      <text>
        <r>
          <rPr>
            <b/>
            <sz val="9"/>
            <color indexed="81"/>
            <rFont val="Tahoma"/>
            <family val="2"/>
          </rPr>
          <t xml:space="preserve">e.com:
</t>
        </r>
        <r>
          <rPr>
            <sz val="9"/>
            <color indexed="81"/>
            <rFont val="Tahoma"/>
            <family val="2"/>
          </rPr>
          <t xml:space="preserve">
- Ab Mitte 2020 - wenn connect fertiggestellt ist und seinen versprochenen Mehrwert als geräteunabhängiger Multimessenger, als Multimedia-Zentrum und als VR- bzw. Spiel-Erlebnis beweist - wird auch die Mundpropaganda stark ansteigen. 
- Zu diesem Zeitpunkt wird VR auch ein Trend mit steigendem medialen Interesse sein (u.a. wegen der Offensiven vieler großer Unternehmen und Steven Spielbergs Verfilmung von Ready Player One - das wie eine Vorwegnahme von connect wirkt), was uns in die Hände spielt. 
- Wir rechnen damit, dass jeder User im Laufe eines Jahres im Schnitt genügend anderen Menschen von connect erzählt hat (die Gelegenheit ergibt sich bei Messengern / Social Networks deutlich öfter, als z.B. bei Medikamenten), dass ein weiterer User dadurch gewonnen werden kann. 
- Das ist eine sehr vorsichtige Schätzung. Viele erste VR-User werden Freunden diese neue virtuelle Welt mit Start in connect zeigen (u.a. weil wir eine sehr beeindruckende Grafik und viel Interaktivität und Invididualisierbarkeit haben und jeder gerne zeigt, was er sich "Besonderes" zusammengebaut bzw. erworben hat (z.B. sehr seltene virtuelle Haustiere mit besonderen Kunststücken)).
- Auch der Vergleich mit anderen innovativen Netzwerken wie z.B. Facebook, Twitter oder Instagram zeigt, dass allein durch Mundpropaganda ein Netzwerk auch viel schneller wachsen kann, als in unserer Schätzung. Facebook und Co haben in den ersten Jahren ihre Userzahlen verfünffacht (hier wurden die Absprünge bereits abgezogen) - davon sind unsere Schätzwerte fast um den Faktor 10 entfernt.
- connect ist sehr visuell, lässt sich großartig präsentieren, ist ein Trend-Thema, ein Thema, das fast jeden Menschen betrifft oder zumindest Gesprächsstoff gibt (wenngleich auch negativ, um über diese virtuelle Welten zu schimpfen). 
- Wir werden alles tun, um Usern gute Gründe zu geben, connect herzuzeigen, das ist einer der wichtigsten Foki unserer Entwicklung und dieser zeigt sich auch in den nachfolgenden "Marketing-Tricks", mit denen wir die Mundpropaganda nochmals gezielt anheizen und belohnen können (siehe 1.6 bis 1.9 - als Beispiele). </t>
        </r>
      </text>
    </comment>
    <comment ref="B9" authorId="0">
      <text>
        <r>
          <rPr>
            <b/>
            <sz val="9"/>
            <color indexed="81"/>
            <rFont val="Tahoma"/>
            <family val="2"/>
          </rPr>
          <t>Michael Schöggl:</t>
        </r>
        <r>
          <rPr>
            <sz val="9"/>
            <color indexed="81"/>
            <rFont val="Tahoma"/>
            <family val="2"/>
          </rPr>
          <t xml:space="preserve">
</t>
        </r>
        <r>
          <rPr>
            <b/>
            <sz val="9"/>
            <color indexed="81"/>
            <rFont val="Tahoma"/>
            <family val="2"/>
          </rPr>
          <t>Um wieviel Prozent pro Monat wächst unsere Userzahl allein durch Mundpropaganda?</t>
        </r>
        <r>
          <rPr>
            <sz val="9"/>
            <color indexed="81"/>
            <rFont val="Tahoma"/>
            <family val="2"/>
          </rPr>
          <t xml:space="preserve">
</t>
        </r>
        <r>
          <rPr>
            <u/>
            <sz val="9"/>
            <color indexed="81"/>
            <rFont val="Tahoma"/>
            <family val="2"/>
          </rPr>
          <t>Begründung für diesen Wert:</t>
        </r>
        <r>
          <rPr>
            <sz val="9"/>
            <color indexed="81"/>
            <rFont val="Tahoma"/>
            <family val="2"/>
          </rPr>
          <t xml:space="preserve">
- connect spricht eine sehr breite Zielgruppe an, weil es jedes Gerät unterstützt, in 2D, 3D oder VR verwendbar ist und klassische menschliche Grundbedürfnisse (Erhöhung des Sozialstatus, Unterhaltung, Kommunikation, Anerkennung, Aufmerksamkeit, Kontrolle, Sicherheit etc.) befriedigt. Darauf liegt unser Fokus, siehe Businessplan. 
- connect ist neuartig und technisch modern genug, um ein spannendes Thema im Freundeskreis zu sein. Es hebt sich komplett von anderen Netzwerken ab und Menschen zeigen gerne Neuheiten her, anstatt bereits bekannte oder vertraute Dinge.
- Das Interesse an VR wird in den nächsten Monaten mit immer besserer Hardware weiter zunehmen, wir wachsen hier mit. Der gedankliche und damit auch sprachliche Sprung von VR zum virtuellen Zuhause ist nicht weit, zumal wir auch ein Netzwerk für alle VR-Inhalte aufbauen wollen.
- Ein virtuelles Zuhause, virtuelle Haustiere und ein möglichst realistisches VR-Erlebnis sind Themen, die viele Menschen bewegen.
- In connect baut sich der User seine eigene Welt auf und "investiert" in die Erhöhung seines Sozialstatus durch limitierte, besondere Inhalte. Diese will er seinen Freunden zeigen, er will damit angeben.
- Ein Wert von ca. 6 % würde bedeuten, dass im Laufe eines Jahres ein connect User einen weiteren Menschen durch Mundpropaganda für uns gewinnen konnte. Das ist sehr realistisch, weil unsere User viel Zeit in connect verbringen werden (für Spiele, virtuelle Haustiere, Kommunikation, Multimedia und VR-Erlebnisse). Je bedeutsamer connect für die User wird (durch z.B. exklusive Inhalte), umso mehr werden sie es anderen zeigen.</t>
        </r>
      </text>
    </comment>
    <comment ref="C9"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Prozent pro Quartal sinkt/steigt das monatliche Wachstum durch Mundpropaganda?</t>
        </r>
        <r>
          <rPr>
            <sz val="9"/>
            <color indexed="81"/>
            <rFont val="Tahoma"/>
            <family val="2"/>
          </rPr>
          <t xml:space="preserve">
</t>
        </r>
        <r>
          <rPr>
            <u/>
            <sz val="9"/>
            <color indexed="81"/>
            <rFont val="Tahoma"/>
            <family val="2"/>
          </rPr>
          <t>Begründung für diesen Wert:</t>
        </r>
        <r>
          <rPr>
            <sz val="9"/>
            <color indexed="81"/>
            <rFont val="Tahoma"/>
            <family val="2"/>
          </rPr>
          <t xml:space="preserve">
- Umso mehr connect zu bieten hat, umso wahrscheinlicher werden unsere User es ihren Freunden zeigen - und viele besondere Funktionen (z.B. Zugang zu VR-Shops, Avatare, ganze VR-Welten, komplett neue Szenen, neue VR-Haustiere, etc.) werden erst nach und nach hinzukommen, u.a. durch Drittanbieter oder (Medien-)Partner.
- Je größer connect wird, umso "sicherer" fühlen sich Menschen darin, es anderen zu zeigen. Keiner will riskieren, etwas toll zu finden, was unbekannt ist und damit so wirkt, als würde es kaum jemandem gefallen (außer es ist offensichtlich ein Geheimtipp und noch ganz neu). 
- Viele Themen in connect - z.B. VR - sind Trends, die in den nächsten Monaten ansteigen werden.</t>
        </r>
      </text>
    </comment>
    <comment ref="A10" authorId="1">
      <text>
        <r>
          <rPr>
            <b/>
            <sz val="9"/>
            <color indexed="81"/>
            <rFont val="Tahoma"/>
            <family val="2"/>
          </rPr>
          <t xml:space="preserve">e.com
- </t>
        </r>
        <r>
          <rPr>
            <sz val="9"/>
            <color indexed="81"/>
            <rFont val="Tahoma"/>
            <family val="2"/>
          </rPr>
          <t xml:space="preserve">Von connect aus lassen sich bereits jetzt SMS und Faceboo-Nachrichten lesen und schreiben, Mails sind fast abgeschlossen, viele weitere, andere Netzwerke werden in rascher Abfolge (ca. ein Netzwerk pro Monat zu rund 10.000 Euro kosten) folgen. 
- Immer, wenn unsere User den Multimessenger verwenden, um Nachrichten zu schreiben oder Fotos, Videos, Sprachaufzeichnungen, eigenen connect-Sticker, connect-Emoties oder ähnliches in andere Netzwerke zu schicken, wird bei der ersten Nachricht der Anhang "send by connect" andere Menschen auf unser Netzwerk aufmerksam machen. 
- Unser User werden aber auch die geposteten Fotos ihrer Freunde an den Wänden ihres virtuellen Zuhause angezeigt bekommen, die Videos in einem eigenen "Freunde-Video-Kanal" am virtuellen Fernseher und ähnliches. Umgekehrt genauso - die Inhalte aus connect kann man allesamt in andere Netzwerke teilen, z.B. die Links zu Medieninhalten, Screenshots oder Videos (auch in 360 Grad), exklusive Inhalte (wie Haustiere, Spiele, Deko, alternative Szenen etc.). 
- Somit werden connect-fremde Menschen auf unser Netzwerk aufmerksam gemacht, ohne das dies Kosten verursachen würde. 
- Wir rechnen daher selbst bei vorsichtigster Schätzung, dass pro aktivem User im Laufe eines Jahres ein weiterer dazu kommt. Mit etwas "Glück" (richtiges Thema zum richtigen Zeitpunkt, etc.) könnte jeder User sogar hunderte Freunde auf connect aufmerksam machen, indem er ganz einfach connect-Inhalte (wie z.B. 360-Grad-Videos) z.B. auf Facebook teilt. 
- Punkt 1.6 beschreibt, dass wir dieses für uns nützliche Verhalten gezielt fördern und belohnen werden (z.B. durch Wettbewerbe), um diesen kostenlosen Zugang maximal auszunutzen. Wie schnell ein Thema viral werden kann und um die ganze Welt geht, haben genügend andere bewiesen - unser Ziel ist es, diese Mechanismen so gut wie möglich zu kopieren und automatisieren. 
- Der Multimessenger ist hierbei so nützlich, dass fast jeder User ihn immer wieder verwenden wird, selbst, wenn er ansonsten sich mit Postings etc. eher zurückhält. </t>
        </r>
      </text>
    </comment>
    <comment ref="B10" authorId="0">
      <text>
        <r>
          <rPr>
            <b/>
            <sz val="9"/>
            <color indexed="81"/>
            <rFont val="Tahoma"/>
            <family val="2"/>
          </rPr>
          <t>Michael Schöggl:</t>
        </r>
        <r>
          <rPr>
            <sz val="9"/>
            <color indexed="81"/>
            <rFont val="Tahoma"/>
            <family val="2"/>
          </rPr>
          <t xml:space="preserve">
</t>
        </r>
        <r>
          <rPr>
            <b/>
            <sz val="9"/>
            <color indexed="81"/>
            <rFont val="Tahoma"/>
            <family val="2"/>
          </rPr>
          <t>Um wieviel Prozent pro Monat steigt die Anzahl unserer User durch unseren Multimessenger-Anhang "sent by connect"?</t>
        </r>
        <r>
          <rPr>
            <sz val="9"/>
            <color indexed="81"/>
            <rFont val="Tahoma"/>
            <family val="2"/>
          </rPr>
          <t xml:space="preserve">
</t>
        </r>
        <r>
          <rPr>
            <u/>
            <sz val="9"/>
            <color indexed="81"/>
            <rFont val="Tahoma"/>
            <family val="2"/>
          </rPr>
          <t>Begründung für diesen Wert:</t>
        </r>
        <r>
          <rPr>
            <sz val="9"/>
            <color indexed="81"/>
            <rFont val="Tahoma"/>
            <family val="2"/>
          </rPr>
          <t xml:space="preserve">
- Dieser Zugang bezieht sich nicht nur auf den Text-Anhang "sent by connect" sondern ganz speziell auch darauf, dass unsere User z.B. connect-Inhalte wie dessen Sticker, Screenshots, Medien-Inhalte etc. in andere Netzwerke wie z.B. Facebook schicken können. Je "verknüpfter" connect ist, umso mehr Aufsehen wird jeder User automatisch in anderen Netzwerken durch die Verwendung erregen.
- Ein Wert von 8,4 % würde bedeuten, dass ein durchschnittlicher connect-User einen weiteren User pro Jahr anlockt, weil er hunderte Nicht-connect-Kontakte monatlich anschreibt (z.B. per Mail, SMS oder FB-Nachricht) und dabei einer neugierig genug wird, um connect selbst auszuprobieren (z.B. aufgrund der Info des connect-Users, dass er mit diesem Multi-Messenger Nachrichten in verschiedene Netzwerke schicken kann oder aufgrund der tollen Sticker, Screenshots (z.B. vom virtuellen Haustier) oder ähnliches).
- Die beste Werbung ist und bleibt persönliche Empfehlung und diese stoßen wir dadurch an, dass der Empfänger einer "sent by connect" Nachricht - vor allem, wenn er von verschiedenen Freunden über verschiedene Netzwerke solche Nachrichten bekommt - irgendwann nachfragen wird, worum es sich hierbei handelt. Und der Sender wird dann - um seinen Selbstwert zu wahren und seine Entscheidung zu rechtfertigen - auch connect positiv beschreiben und z.B. auf den Mehrwert des Multi-Messengers hinweisen. "Was du kennst connect nicht? Lebst du hinterm Mond?"</t>
        </r>
      </text>
    </comment>
    <comment ref="C10"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Prozent pro Quartal sinkt/steigt die monatliche Wachstumsrate von connect durch den Multi-Messenger-Anhang "sent by connect" oder die verschickten Inhalte?</t>
        </r>
        <r>
          <rPr>
            <sz val="9"/>
            <color indexed="81"/>
            <rFont val="Tahoma"/>
            <family val="2"/>
          </rPr>
          <t xml:space="preserve">
</t>
        </r>
        <r>
          <rPr>
            <u/>
            <sz val="9"/>
            <color indexed="81"/>
            <rFont val="Tahoma"/>
            <family val="2"/>
          </rPr>
          <t>Begründung für diesen Wert:</t>
        </r>
        <r>
          <rPr>
            <sz val="9"/>
            <color indexed="81"/>
            <rFont val="Tahoma"/>
            <family val="2"/>
          </rPr>
          <t xml:space="preserve">
- Wenn ein User regelmäßig durch die Nachrichten seiner Freunde auf connect aufmerksam gemacht wird, dann kennt er diesen Anhang bereits und somit auch connect. Je später dieser Werbezugang kommt, umso wahrscheinlicher hat der Empfänger bereits Bekanntschaft gemacht und einfach kein Interesse an connect - weshalb dieser Wert negativ ist, der Werbeeffekt also nachlässt. 
- Gegenzurechnen ist, dass unser Multi-Messenger immer mehr andere Netzwerke integrieren wird und damit auch Menschen aus neuen Netzwerken erreicht. Außerdem werden unsere User immer mehr Inhalte über den Multi-Messenger in andere Netzwerke schicken können. Trotzdem: Vorsichtig gedacht wird der Effekt eher rückläufig sein, als anzuwachsen. </t>
        </r>
      </text>
    </comment>
    <comment ref="A11" authorId="1">
      <text>
        <r>
          <rPr>
            <b/>
            <sz val="9"/>
            <color indexed="81"/>
            <rFont val="Tahoma"/>
            <family val="2"/>
          </rPr>
          <t xml:space="preserve">e.com:
</t>
        </r>
        <r>
          <rPr>
            <sz val="9"/>
            <color indexed="81"/>
            <rFont val="Tahoma"/>
            <family val="2"/>
          </rPr>
          <t xml:space="preserve">
- Das Bedürfnis vieler Menschen etwas besonderes zu besitzen oder (virtuelle) Erfolge (z.B. in Spielen) zu erzielen, bzw. ihren Status durch limitierte Besitztümer zu erhöhen, ist - wie Vergleiche mit der ganzen Spielebranche zeigen - gewaltig. 
- Auch innerhalb der connect-User wird es einen großen Anteil jener Nutzer geben, die sich durch limitierte Belohnungen mit Prestige-Wert (z.B. Pokale mit Namensgravur, extrem seltene virtuelle Haustiere, die sich verkaufen, züchten oder tauschen lassen, alternative virtuelle Wohnräume wie das Oval Office oder besondere Deko-Objekte, etc.) dazu motivieren lassen werden, im Zuge eines Wettbewerbs, einer "täglichen Quest", eines "Erfolges", etc. Verhalten zu zeigen, das uns bekannter macht. 
- Bei einem Wettbewerb könnten z.B. die besten 360-Grad-Videos aus dem virtuellen Zuhause (meiste Likes auf FB), die ausgefallenste Individualisierung (z.B. mit eigenen Fotos als Textur, wodurch man z.B. den Boden mit den Gesichtern der Freunde zupflastern kann) oder sogar selbst erstellte neue und öffentlich geteilte Inhalte wie Schriftarten, Klingeltöne, künstlerische Bilder für die virtuelle Wand, Haustier-Fell-Skins oder ähnliches mit Titeln, virtuellen Belohnungen oder "Adjektiven" honoriert werden. 
- Wir bauen dadurch eine Online-Community auf, die auf connect aufmerksam macht, z.B. ganz direkt durch tausende YouTube-Videos. Kürzlich hat ein indonesischer Sänger bei einem Wettbewerb für die 3 besten Cover-Songs innerhalb einer Woche einen Gewinn von 7000 Euro versprochen - und nur wenige Tage später gab es mehrere tausend Covers von ihm. Unsere Belohnungen werden durch die Rarität für manche User einen enormen Wert haben, ohne für uns relevante Kosten dazustellen. </t>
        </r>
      </text>
    </comment>
    <comment ref="A12" authorId="1">
      <text>
        <r>
          <rPr>
            <b/>
            <sz val="9"/>
            <color indexed="81"/>
            <rFont val="Tahoma"/>
            <family val="2"/>
          </rPr>
          <t xml:space="preserve">e.com:
</t>
        </r>
        <r>
          <rPr>
            <sz val="9"/>
            <color indexed="81"/>
            <rFont val="Tahoma"/>
            <family val="2"/>
          </rPr>
          <t xml:space="preserve">
- Wir werden ganz direkt das Teilen unserer Werbevideos auf Facebook und Co, sowie das Werben von Freunden mit stark limitierten virtuellen Besitztümern belohnen. 
- Diese sind nur eine bestimmte Zeit lang verfügbar (z.B. einen Monat), danach gibt es eine neue Belohnung, um denselben User zu motivieren, einen weiteren Freund anzuwerben. 
- Diese Belohnungen sind tauschbar, verkaufbar und könnten auch "sammelbare" Sets bilden (z.B. das Haustier "Eulenbaby" in den verschiedensten Farben/Fellen, damit der Aufwand für uns minimal ist). 
- Jede zu offensichtliche oder offensive Werbung kann sich auch negativ auf das Image auswirken, daher ist dieser Zugang nur eine weitere Möglichkeit, wenn die anderen Wege nicht erfolgreich genug sein sollten. </t>
        </r>
      </text>
    </comment>
    <comment ref="A13" authorId="1">
      <text>
        <r>
          <rPr>
            <b/>
            <sz val="9"/>
            <color indexed="81"/>
            <rFont val="Tahoma"/>
            <family val="2"/>
          </rPr>
          <t xml:space="preserve">e.com:
</t>
        </r>
        <r>
          <rPr>
            <sz val="9"/>
            <color indexed="81"/>
            <rFont val="Tahoma"/>
            <family val="2"/>
          </rPr>
          <t xml:space="preserve">
- Wir haben ganz bewusst viele Inhalte in connect geschaffen, die dafür sorgen, dass unsere User in der Öffentlichkeit auffallen werden.
- U.a. sind das realistische Klingeltöne (Münze fällt, Dose öffnen, Schluckauf, Gelsensurren, etc.), die z.B. auf öffentlichen Plätzen oder in den öffentlichen Verkehrsmitteln Aufmerksamkeit erregen. 
- Auch praktisch fertiggestellt ist ein versteckter, virtueller Tresor, der sich durch das Drehen des Smartphones (= Drehen des Drehknaufs) nach vielen Stunden knacken lässt. Manche unserer User werden öffentlich auffallen, gefragt werden und dann (stolz) connect präsentieren. 
- Dieser Zugang kostet uns ebenso wie die bisherigen nur Entwicklungsaufwand und kann mit der Userbasis gewaltig skalieren und schnell für mehr Sichtbarkeit sorgen.
- Es gibt noch rund 5 weitere Tricks, die nun nicht alle aufgezählt werden sollen. 
- Wir wollen es so schwer wie möglich machen, connect zu nutzen, ohne dass regelmäßig andere Menschen darauf aufmerksam werden.
- Fast alle dieser Tricks und Zugänge sowie der Belohnungen sind bereits fertig oder kurz vor Fertigstellung, ihr Effekt wird uns aber kontinuierlich neue User ohne weitere Kosten bringen.</t>
        </r>
      </text>
    </comment>
    <comment ref="A14" authorId="0">
      <text>
        <r>
          <rPr>
            <b/>
            <sz val="9"/>
            <color indexed="81"/>
            <rFont val="Tahoma"/>
            <family val="2"/>
          </rPr>
          <t xml:space="preserve">Michael Schöggl:
</t>
        </r>
        <r>
          <rPr>
            <sz val="9"/>
            <color indexed="81"/>
            <rFont val="Tahoma"/>
            <family val="2"/>
          </rPr>
          <t xml:space="preserve">
</t>
        </r>
        <r>
          <rPr>
            <b/>
            <sz val="9"/>
            <color indexed="81"/>
            <rFont val="Tahoma"/>
            <family val="2"/>
          </rPr>
          <t>Für eine realistische Einschätzung der Userzahlen-Entwicklung müssen wir von einer Sättigung der Zielgruppe ausgehen, bzw. von einer Zielgruppen-Obergrenze</t>
        </r>
        <r>
          <rPr>
            <sz val="9"/>
            <color indexed="81"/>
            <rFont val="Tahoma"/>
            <family val="2"/>
          </rPr>
          <t xml:space="preserve">. 
</t>
        </r>
        <r>
          <rPr>
            <b/>
            <sz val="9"/>
            <color indexed="81"/>
            <rFont val="Tahoma"/>
            <family val="2"/>
          </rPr>
          <t>Wir verwenden 2 Werte:</t>
        </r>
        <r>
          <rPr>
            <sz val="9"/>
            <color indexed="81"/>
            <rFont val="Tahoma"/>
            <family val="2"/>
          </rPr>
          <t xml:space="preserve">
- </t>
        </r>
        <r>
          <rPr>
            <u/>
            <sz val="9"/>
            <color indexed="81"/>
            <rFont val="Tahoma"/>
            <family val="2"/>
          </rPr>
          <t>maximale Zielgruppe bis Ende 2020</t>
        </r>
        <r>
          <rPr>
            <sz val="9"/>
            <color indexed="81"/>
            <rFont val="Tahoma"/>
            <family val="2"/>
          </rPr>
          <t xml:space="preserve">: Primär VR-User (und Gamer für die 3D-Nutzung), weil sich unser Marketing auf diese Zielgruppe konzentriert; natürlich können wir aber auch darüber hinaus Menschen ansprechen.
- </t>
        </r>
        <r>
          <rPr>
            <u/>
            <sz val="9"/>
            <color indexed="81"/>
            <rFont val="Tahoma"/>
            <family val="2"/>
          </rPr>
          <t>maximale Zielgruppe ab 2021</t>
        </r>
        <r>
          <rPr>
            <sz val="9"/>
            <color indexed="81"/>
            <rFont val="Tahoma"/>
            <family val="2"/>
          </rPr>
          <t xml:space="preserve">: Alle Social Media bzw. Network und Messenger Nutzer, jedoch nur jene, für die connect - auch OHNE den virtuellen Raum - einen ausreichend großen Mehrwert bietet (Multi-Messenger, Datenschutz, Multimedia, Geräteunabhängigkeit, etc.), schließlich haben wir Konkurrenz und unser Produkt wird selbst dann, wenn wir alles individualisierbar machen und verschiedene Versionen rausbringen, niemals alle Menschen ansprechen können
</t>
        </r>
        <r>
          <rPr>
            <b/>
            <sz val="9"/>
            <color indexed="81"/>
            <rFont val="Tahoma"/>
            <family val="2"/>
          </rPr>
          <t>Erklärung zu den Auswirkungen dieser Werte:</t>
        </r>
        <r>
          <rPr>
            <sz val="9"/>
            <color indexed="81"/>
            <rFont val="Tahoma"/>
            <family val="2"/>
          </rPr>
          <t xml:space="preserve">
- Die Berechnung erfolgt so, dass je stärker sich unsere Userzahlen diesen Grenzwerten nähern, die Akquise neuer User umso unwahrscheinlicher wird.
- Bei 0 Usern und einer Grenze von 300, ist die Akquise-Rate bei 100%. 
- Bei 200 Usern und einer Grenze von 300, ist sie nur noch bei 0,33%.
- Alle Wachstumswerte (bis auf die negativen Absprünge, siehe 1.11) sind von diesem Multiplikator betroffen und sinken entsprechend der Annäherung zur Zielgruppen-Obergrenze immer stärker Richtung 0.</t>
        </r>
      </text>
    </comment>
    <comment ref="B14" authorId="0">
      <text>
        <r>
          <rPr>
            <b/>
            <sz val="9"/>
            <color indexed="81"/>
            <rFont val="Tahoma"/>
            <family val="2"/>
          </rPr>
          <t xml:space="preserve">Michael Schöggl:
Wie groß ist unsere </t>
        </r>
        <r>
          <rPr>
            <b/>
            <i/>
            <sz val="9"/>
            <color indexed="81"/>
            <rFont val="Tahoma"/>
            <family val="2"/>
          </rPr>
          <t>primäre</t>
        </r>
        <r>
          <rPr>
            <b/>
            <sz val="9"/>
            <color indexed="81"/>
            <rFont val="Tahoma"/>
            <family val="2"/>
          </rPr>
          <t xml:space="preserve"> Zielgruppe, die wir bis Ende 2020 erreichen können? - </t>
        </r>
        <r>
          <rPr>
            <b/>
            <u/>
            <sz val="9"/>
            <color indexed="81"/>
            <rFont val="Tahoma"/>
            <family val="2"/>
          </rPr>
          <t>Bezogen auf Viral-Marketing-Zugänge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Zu Beginn Fokus auf VR-User, weil wir diesen den größten Mehrwert bieten und Gamer eine sehr dankbare, zahlkräftige Zielgruppe sind. 2019 sind das mindestens 10 Millionen User weltweit, die wir über unsere aktuell unterstützten Geräte (Android, HTC Vive, Oculus) und Plattformen (Play Store und Steam) erreichen können.
- Bis Mitte 2020: Fertigstellung der "connect Basic"-Version, d.h. einer nativen Android und iOS Version von connect, die dieselben Funktionen umfasst, aber in einem simplen 2D-Design (vlg. WhatsApp und Co). Diese Version unterstützt dann wirklich alle Smartphones und läuft genauso schnell, wie WhatsApp und Co, mit Fokus auf Multi-Messenger, Multimedia und Verschlüsselung zielt sie auf den konservativeren, weniger verspielten Massenmarkt ab, bis VR sich endgültig durchgesetzt hat.
- Bis Mitte 2020: Fertigstellung der PlayStation-Version und der iOS-Version.
- Bis Ende 2020: Fertigstellung des Multi-Messengers für alle Geräte (inklusive PlayStation und iOS) und alle größeren Netzwerke (u.a. zusätzlich WhatsApp, WeChat, Snapchat, Skype, Twitter, Instagram etc.). 
- Ab 2021 Fokus auf neue Zielgruppe: alle Social Network / Messenger-User weltweit; bis dahin haben wir genug Funktionen (z.B. Multi-Messenger) und Inhalte (z.B. Medien-Inhalte der Partner) um auch den Massenmarkt anzusprechen. Unsere bisherigen VR-/3D-User werden als treue Fans zu Mundpropaganda motiviert (siehe 1.7 bis 1.9).
</t>
        </r>
      </text>
    </comment>
    <comment ref="C14" authorId="0">
      <text>
        <r>
          <rPr>
            <b/>
            <sz val="9"/>
            <color indexed="81"/>
            <rFont val="Tahoma"/>
            <family val="2"/>
          </rPr>
          <t>Michael Schöggl:</t>
        </r>
        <r>
          <rPr>
            <sz val="9"/>
            <color indexed="81"/>
            <rFont val="Tahoma"/>
            <family val="2"/>
          </rPr>
          <t xml:space="preserve">
</t>
        </r>
        <r>
          <rPr>
            <b/>
            <sz val="9"/>
            <color indexed="81"/>
            <rFont val="Tahoma"/>
            <family val="2"/>
          </rPr>
          <t xml:space="preserve">
Wie groß ist unsere </t>
        </r>
        <r>
          <rPr>
            <b/>
            <i/>
            <sz val="9"/>
            <color indexed="81"/>
            <rFont val="Tahoma"/>
            <family val="2"/>
          </rPr>
          <t>primäre</t>
        </r>
        <r>
          <rPr>
            <b/>
            <sz val="9"/>
            <color indexed="81"/>
            <rFont val="Tahoma"/>
            <family val="2"/>
          </rPr>
          <t xml:space="preserve"> Zielgruppe (Multi-Messenger, Social Network, Multimedia), die wir ab 2020 erreichen können? - </t>
        </r>
        <r>
          <rPr>
            <b/>
            <u/>
            <sz val="9"/>
            <color indexed="81"/>
            <rFont val="Tahoma"/>
            <family val="2"/>
          </rPr>
          <t>Bezogen auf Viral-Marketing-Zugänge</t>
        </r>
        <r>
          <rPr>
            <b/>
            <sz val="9"/>
            <color indexed="81"/>
            <rFont val="Tahoma"/>
            <family val="2"/>
          </rPr>
          <t xml:space="preserve">
</t>
        </r>
        <r>
          <rPr>
            <u/>
            <sz val="9"/>
            <color indexed="81"/>
            <rFont val="Tahoma"/>
            <family val="2"/>
          </rPr>
          <t>Begründung für diesen Wert</t>
        </r>
        <r>
          <rPr>
            <sz val="9"/>
            <color indexed="81"/>
            <rFont val="Tahoma"/>
            <family val="2"/>
          </rPr>
          <t>: 
- Siehe Kommentar zur Spalte links: Ab 2021 umfasst connect genügend Inhalte, Medien, Funktionen und Geräte-Unterstützungen, sowie eine simple connect Basic Version ohne 3D/VR, um praktisch alle Social Network / Media bzw. Messenger User weltweit anzusprechen.
- Viele User verwenden mehrere Social Networks oder Messenger parallel zueinander, zudem bietet gerade connect mit dem Multi-Messenger den Vorteil, aus einer App heraus alle anderen Netzwerke verwenden/verwalten zu können. Darum gehen wir von einem weltweiten Markt von mindestens 300 Mio Menschen aus, unanhängig davon, wie erfolgreich oder aktiv die Konkurrenz wie z.B. Facebook ist. 
- Gewissermaßen profitieren wir aufgrund unseres Multi-Messengers sogar von mehr Wettbewerbern bzw. dem Erfolg anderer Messenger und Netzwerke - weil dadurch der Wert von unserer Verschlüsselung / Datenschutz und von unserem Multi-Messenger steigt, schließlich nimmt er "Arbeit" ab, all diese Netzwerke (mit unterschiedlichen Apps und unterschiedlichen Geräteabhängigkeiten) zu betreuen.</t>
        </r>
      </text>
    </comment>
    <comment ref="J14" authorId="0">
      <text>
        <r>
          <rPr>
            <b/>
            <sz val="9"/>
            <color indexed="81"/>
            <rFont val="Tahoma"/>
            <family val="2"/>
          </rPr>
          <t>Michael Schöggl:</t>
        </r>
        <r>
          <rPr>
            <sz val="9"/>
            <color indexed="81"/>
            <rFont val="Tahoma"/>
            <family val="2"/>
          </rPr>
          <t xml:space="preserve">
</t>
        </r>
        <r>
          <rPr>
            <b/>
            <sz val="9"/>
            <color indexed="81"/>
            <rFont val="Tahoma"/>
            <family val="2"/>
          </rPr>
          <t>Summe der monatlichen Steigerungsraten für das gesamte Jahr.</t>
        </r>
        <r>
          <rPr>
            <sz val="9"/>
            <color indexed="81"/>
            <rFont val="Tahoma"/>
            <family val="2"/>
          </rPr>
          <t xml:space="preserve"> 
- Die Werte links davon sind pro Monat und nicht pro Quartal, das hier ist also nicht die Summe der Werte links, sondern das Jahresergebnis.
- Diese Werte sind mit Vorsicht zu genießen, die eigentliche Steigerungsrate pro Jahr ist eine andere, als die einfache Summe der monatlichen Steigerungen.</t>
        </r>
      </text>
    </comment>
    <comment ref="A15" authorId="0">
      <text>
        <r>
          <rPr>
            <b/>
            <sz val="9"/>
            <color indexed="81"/>
            <rFont val="Tahoma"/>
            <family val="2"/>
          </rPr>
          <t>Michael Schöggl:</t>
        </r>
        <r>
          <rPr>
            <sz val="9"/>
            <color indexed="81"/>
            <rFont val="Tahoma"/>
            <family val="2"/>
          </rPr>
          <t xml:space="preserve">
Prozentsatz aller bisherigen User, die innerhalb von diesem einen Monat connect für immer verlassen und daher dauerhaft verloren gehen.
</t>
        </r>
        <r>
          <rPr>
            <u/>
            <sz val="9"/>
            <color indexed="81"/>
            <rFont val="Tahoma"/>
            <family val="2"/>
          </rPr>
          <t>Achtung</t>
        </r>
        <r>
          <rPr>
            <sz val="9"/>
            <color indexed="81"/>
            <rFont val="Tahoma"/>
            <family val="2"/>
          </rPr>
          <t>: Diesen Wert nicht zu hoch einschätzen, weil er sich auf jeden einzelnen Monat bezieht und sich schnell kummuliert. Bei einem Wert von 0,1 würden im Laufe eines Jahres z.B. 72% aller User wieder verloren sein (0,9 hoch 12).</t>
        </r>
      </text>
    </comment>
    <comment ref="B15" authorId="0">
      <text>
        <r>
          <rPr>
            <b/>
            <sz val="9"/>
            <color indexed="81"/>
            <rFont val="Tahoma"/>
            <family val="2"/>
          </rPr>
          <t>Michael Schöggl:</t>
        </r>
        <r>
          <rPr>
            <sz val="9"/>
            <color indexed="81"/>
            <rFont val="Tahoma"/>
            <family val="2"/>
          </rPr>
          <t xml:space="preserve">
</t>
        </r>
        <r>
          <rPr>
            <b/>
            <sz val="9"/>
            <color indexed="81"/>
            <rFont val="Tahoma"/>
            <family val="2"/>
          </rPr>
          <t xml:space="preserve">Wieviel Prozent aller bisherigen User verlassen uns pro Monat? </t>
        </r>
        <r>
          <rPr>
            <sz val="9"/>
            <color indexed="81"/>
            <rFont val="Tahoma"/>
            <family val="2"/>
          </rPr>
          <t xml:space="preserve">
</t>
        </r>
        <r>
          <rPr>
            <u/>
            <sz val="9"/>
            <color indexed="81"/>
            <rFont val="Tahoma"/>
            <family val="2"/>
          </rPr>
          <t>Begründung für diesen Wert</t>
        </r>
        <r>
          <rPr>
            <sz val="9"/>
            <color indexed="81"/>
            <rFont val="Tahoma"/>
            <family val="2"/>
          </rPr>
          <t>: 
- Dieser Wert ist von unglaublicher Bedeutung für unseren Erfolg. Wir tun vieles, um ihn so rasch wie möglich maximal zu senken (u.a. durch Individualisierung, Investments, Aufarbeitung von User-Wünschen, ständig neuen Inhalten von Partner bzw. Medien, spielerische, unterhaltsame Zugänge wie virtuelle Haustiere, etc.). 
- Bis Mitte 2020 wird der Wert sehr hoch sein, weil viele versprochene Funktionen noch nicht fertig sind und die Usability aufgrund offener Baustellen noch zu schlecht. Ab Q3 2020 gilt dann der hier eingetragene Wert.
- Solange dieser Wert niedriger ist (wird), als Summe A und B zusammen, wächst connect.</t>
        </r>
      </text>
    </comment>
    <comment ref="C15"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sinkt/steigt der prozentuale Wert, mit dem jeden Monat bisherige User connect für immer verlassen?</t>
        </r>
        <r>
          <rPr>
            <sz val="9"/>
            <color indexed="81"/>
            <rFont val="Tahoma"/>
            <family val="2"/>
          </rPr>
          <t xml:space="preserve">
</t>
        </r>
        <r>
          <rPr>
            <u/>
            <sz val="9"/>
            <color indexed="81"/>
            <rFont val="Tahoma"/>
            <family val="2"/>
          </rPr>
          <t>Begründung für diesen Wert</t>
        </r>
        <r>
          <rPr>
            <sz val="9"/>
            <color indexed="81"/>
            <rFont val="Tahoma"/>
            <family val="2"/>
          </rPr>
          <t>:
- Umso userfreundlicher connect (durch die Einarbeitung von Feedback) wird, umso weniger User werden uns verlassen.
- Umso mehr Zeit und Energie unsere User in ihr virtuelles Zuhause investiert haben, umso weniger sind sie bereit, diese wieder aufzugeben. 
- Wir fokussieren uns darauf, dem User solche Investitionen abzuverlangen, damit er wie in einer alten Ehe connect die Treue hält. Beispiele: Individualisierung, exklusiv Inhalte wie z.B. Quest- bzw. Erfolgs-Belohnungen, Einkäufe, Wettbewerbs-Preise, Tresor-Inhalte, Tausch-Ergebnisse, connect-eigener Freundeskreis, Chat-Verläufe, gesammelte Kontakte, erstellte Favoriten-Listen bei Multimedia-Anbietern, (selbst gezüchtete und trainierte) seltene, virtuelle Haustiere, Einstellungen, etc.
- connect wird laufend weiterentwickelt und wir haben hunderte coole Ideen für Funktionen bzw. Inhalte, die unsere User nicht missen werden wollen.
- Unser Datenschutz-Image und der Aufbau von Vertrauen werden User abhalten, zur Konkurrenz zu wechseln bzw. connect als DIE Kommunikations- und Medien-Plattform ihrer Wahl zu verlassen.</t>
        </r>
      </text>
    </comment>
    <comment ref="J15" authorId="0">
      <text>
        <r>
          <rPr>
            <b/>
            <sz val="9"/>
            <color indexed="81"/>
            <rFont val="Tahoma"/>
            <family val="2"/>
          </rPr>
          <t>Michael Schöggl:</t>
        </r>
        <r>
          <rPr>
            <sz val="9"/>
            <color indexed="81"/>
            <rFont val="Tahoma"/>
            <family val="2"/>
          </rPr>
          <t xml:space="preserve">
</t>
        </r>
        <r>
          <rPr>
            <b/>
            <sz val="9"/>
            <color indexed="81"/>
            <rFont val="Tahoma"/>
            <family val="2"/>
          </rPr>
          <t xml:space="preserve">Summe der monatlichen Reduktionsraten für das gesamte Jahr. </t>
        </r>
        <r>
          <rPr>
            <sz val="9"/>
            <color indexed="81"/>
            <rFont val="Tahoma"/>
            <family val="2"/>
          </rPr>
          <t xml:space="preserve">
- Die Werte links davon sind pro Monat und nicht pro Quartal, das hier ist also nicht die Summe der Werte links, sondern das Jahresergebnis.
- Diese Werte sind mit Vorsicht zu genießen, die eigentliche Reduktionsrate pro Jahr ist eine andere, als die einfache Summe der monatlichen Reduktionen.</t>
        </r>
      </text>
    </comment>
    <comment ref="V15" authorId="0">
      <text>
        <r>
          <rPr>
            <b/>
            <sz val="9"/>
            <color indexed="81"/>
            <rFont val="Tahoma"/>
            <family val="2"/>
          </rPr>
          <t>Michael Schöggl:</t>
        </r>
        <r>
          <rPr>
            <sz val="9"/>
            <color indexed="81"/>
            <rFont val="Tahoma"/>
            <family val="2"/>
          </rPr>
          <t xml:space="preserve">
- 2% pro Monat (Q4 2022) entspricht 24% pro Jahr. Für 2021 und die darauffolgenden Jahre rechnen wir mit 20% Abwanderung pro Jahr. 
- connect bietet sehr viel, um User dauerhaft zu binden, z.B. durch Datenschutz, Multimessenger (einmal eingerichtet will man nicht mehr darauf verzichten) und jedes Investment, das unsere User tätigen (Einkäufe, Belohnungen, Chat-Verkauf, etc.).
- Um vorsichtig zu schätzen, wollen wir aber auch dauerhaft mit 20% jährlicher Abwanderung rechnen, da es unrealistisch ist, alle User halten zu können.</t>
        </r>
      </text>
    </comment>
    <comment ref="Z15" authorId="0">
      <text>
        <r>
          <rPr>
            <b/>
            <sz val="9"/>
            <color indexed="81"/>
            <rFont val="Tahoma"/>
            <family val="2"/>
          </rPr>
          <t xml:space="preserve">Michael Schöggl:
</t>
        </r>
        <r>
          <rPr>
            <sz val="9"/>
            <color indexed="81"/>
            <rFont val="Tahoma"/>
            <family val="2"/>
          </rPr>
          <t xml:space="preserve">
Wegen der frühen Testversion, bei der noch fast nichts geht und vieles buggt, ist die Absprungrate pro Monat sehr hoch. Der Wert sagt aber nichts über die fertige Version aus, denn eines haben ALLE Menschen gemeinsam: sie wollen keine Software nutzen, die noch nicht funktioniert, die kaum was bringt und die viele Probleme hat. </t>
        </r>
      </text>
    </comment>
    <comment ref="A16" authorId="0">
      <text>
        <r>
          <rPr>
            <b/>
            <sz val="9"/>
            <color indexed="81"/>
            <rFont val="Tahoma"/>
            <family val="2"/>
          </rPr>
          <t>Michael Schöggl:</t>
        </r>
        <r>
          <rPr>
            <sz val="9"/>
            <color indexed="81"/>
            <rFont val="Tahoma"/>
            <family val="2"/>
          </rPr>
          <t xml:space="preserve">
- Diese Wachstumsrate wird absolut berechnet, d.h. das Endergebnis Quartal 2 minus Endergebnis Quartal 1. 
- Die Wachstumsrate umfasst die Summe A, B und die User, die pro Monat connect wieder verlassen.</t>
        </r>
      </text>
    </comment>
    <comment ref="J16" authorId="0">
      <text>
        <r>
          <rPr>
            <b/>
            <sz val="9"/>
            <color indexed="81"/>
            <rFont val="Tahoma"/>
            <family val="2"/>
          </rPr>
          <t>Michael Schöggl:</t>
        </r>
        <r>
          <rPr>
            <sz val="9"/>
            <color indexed="81"/>
            <rFont val="Tahoma"/>
            <family val="2"/>
          </rPr>
          <t xml:space="preserve">
</t>
        </r>
        <r>
          <rPr>
            <b/>
            <sz val="9"/>
            <color indexed="81"/>
            <rFont val="Tahoma"/>
            <family val="2"/>
          </rPr>
          <t>Wachstumsrate insgesamt im Vergleich zum Vorjahr</t>
        </r>
        <r>
          <rPr>
            <sz val="9"/>
            <color indexed="81"/>
            <rFont val="Tahoma"/>
            <family val="2"/>
          </rPr>
          <t xml:space="preserve">
- Dieser Wert ist im Gegensatz zu den Summenwerten darüber aussagekräftiger. 
- Die Summenwerte (oben) ignorieren, dass beim Zusammenzählen einzelner prozentualer Steigerungen das Ausmaß der gesamten Steigerung bis zum ersten Wert verloren geht und unterschätzt wird, weil immer nur kleinere Änderungen gemessen werden. Dadurch sind die Summenwerte oben deutlich kleiner, als die absolute Steigerungsrate von Jahr 1 zu Jahr 2.  
- Da connect erst mit Jahresende 2018 als Testversion veröffentlicht wurde und kaum User hat, macht die Berechnung dieser jährlichen Wachstumsrate für 2020 im Vergleich zu 2019 wenig Sinn.</t>
        </r>
      </text>
    </comment>
    <comment ref="A17"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 ref="J17" authorId="0">
      <text>
        <r>
          <rPr>
            <b/>
            <sz val="9"/>
            <color indexed="81"/>
            <rFont val="Tahoma"/>
            <family val="2"/>
          </rPr>
          <t xml:space="preserve">Michael Schöggl:
</t>
        </r>
        <r>
          <rPr>
            <sz val="9"/>
            <color indexed="81"/>
            <rFont val="Tahoma"/>
            <family val="2"/>
          </rPr>
          <t xml:space="preserve">
Summe aller neuen User in diesem Jahr abzüglich derjenigen, die inaktiv geworden sind.</t>
        </r>
      </text>
    </comment>
    <comment ref="A18"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 ref="J18" authorId="0">
      <text>
        <r>
          <rPr>
            <b/>
            <sz val="9"/>
            <color indexed="81"/>
            <rFont val="Tahoma"/>
            <family val="2"/>
          </rPr>
          <t xml:space="preserve">Michael Schöggl:
</t>
        </r>
        <r>
          <rPr>
            <sz val="9"/>
            <color indexed="81"/>
            <rFont val="Tahoma"/>
            <family val="2"/>
          </rPr>
          <t xml:space="preserve">
Absolute Anzahl aller aktiven User am Ende des Jahres. 
</t>
        </r>
      </text>
    </comment>
    <comment ref="A20" authorId="0">
      <text>
        <r>
          <rPr>
            <b/>
            <sz val="9"/>
            <color indexed="81"/>
            <rFont val="Tahoma"/>
            <family val="2"/>
          </rPr>
          <t>Michael Schöggl:</t>
        </r>
        <r>
          <rPr>
            <sz val="9"/>
            <color indexed="81"/>
            <rFont val="Tahoma"/>
            <family val="2"/>
          </rPr>
          <t xml:space="preserve">
- connect hat viele Geschäftsmodelle, wird seinen Fokus aber ganz klar auf B2C konzentrieren, um erste Einnahmen (ab dem 1. User) zu machen. 
- Wenn wir eine kritische Masse an Usern erreicht haben (ca. 20 bis 100k), werden langsam immer stärker auch B2B-Kunden auf uns aufmerksam.
- B2B wird deutlich höhere Einnahmen erbringen, als B2C.
- Wir konzentrieren uns von Anfang an auf die Akquise von B2B-Kunden, realistischerweise werden unsere Bemühungen aber erst erfolgreich sein, wenn wir mindestens 20.000 User haben. 
- Wir haben aktive Gespräche mit mehr als zwei Dutzend großer internationaler Unternehmen, die Interesse an einer Zusammenarbeit haben und noch ein wenig zögern, weil es noch etwas zu früh ist. U.a. Porsche, A1, Deutsche Telekom, Red Bull, Wirecard (Kooperation bereits zugesagt), Internorm, Canon, Antenne (Kooperation bereits zugesagt), Energie Steiermark, etc.
- Fast alle Unternehmen, mit denen wir bisher in Kontakt kamen, haben mit uns Gespräche geführt und Interesse gezeigt (wir hatten mehr als ein Dutzend Präsentationen). Uns fehlte bisher die Zeit und die Mittel (Mitarbeiter), um offensiver auf weitere Unternehmen zuzugehen.
- Auf Basis dieser Erfahrungen können wir mit hoher Sicherheit annehmen, dass es uns sehr rasch gelingen wird, Unternehmen als Kunden zu gewinnen, sobald unsere Software fertig ist und wir mindestens 20.000 User haben. Keines dieser Unternehmen will zu spät kommen, aber auch keines kann es sich leisten, bereits fixe Zusagen zu machen, solange unser Projekt noch keine/kaum Traktion bewiesen hat.</t>
        </r>
      </text>
    </comment>
    <comment ref="A21" authorId="1">
      <text>
        <r>
          <rPr>
            <b/>
            <sz val="9"/>
            <color indexed="81"/>
            <rFont val="Tahoma"/>
            <family val="2"/>
          </rPr>
          <t>e.com:</t>
        </r>
        <r>
          <rPr>
            <sz val="9"/>
            <color indexed="81"/>
            <rFont val="Tahoma"/>
            <family val="2"/>
          </rPr>
          <t xml:space="preserve">
- Siehe Quelle 06: Bei erfolgreichen Apps gibt der durchschnittliche User pro Jahr für In-App-Einkäufe ca. 76 € aus.
- connect ist kostenlos, aber User können Erweiterungen wie z.B. virtuelle Haustiere (Entchen, Krokodil fertig, Schildkröte, Küken etc. bald), Spiele, neue virtuelle Räume/Orte (z.B. Oval Office, fertig), Deko, Gimmicks (z.B. Wettergerät), virtuelle Geschenke (z.B. Rose, Flugzeug mit beschriftbaren Banner, etc.) kaufen. 
- Erfahrungen bei Spielen zeigen, dass diese Form der Monetarisierung in vielen Fällen höhere Einnahmen bringt, als ein monatliches Abo-System oder der Kaufpreis eines Spieles.
- In connect werden vor allem virtuelle, fotorealistische, alternative Szenen (z.B. Oval Office), dekorative, stark limitierte Erweiterungen und virtuelle Haustiere für hohe Einnahmen sorgen. Der User kauft z.B. ein Ei und es schlüpft meistens ein Entchen daraus, selten ein Krokodilbaby und extrem selten ein Saurierbaby. Jedes Tier gibt es in verschieden häufigen Farben. Viele User werden zahlreiche Eier kaufen, weil sie unbedingt z.B. ein schwarzes Baby-Krokodil wollen, das ihren Sozialstatus unterstreichen soll und besonders rar und wertvoll ist. 
- Auch alternative VR-Szenarien (die fotorealistisch und interaktiv sind), sind für wenige Euro erschwinglich, viele User werden als Sammler einfach alles kaufen, was angebot wird. 
- In dieser Aufstellung rechnen wir mit realistischen 3,5 bis langfristig 10 Euro pro User und Jahr an Einnahmen, aber möglich wären auch 40 Euro oder mehr. connect bietet viel mehr verschiedenartigen Content, als klassische Spiele und die Inhalte sind noch relevanter für den eigenen Sozial-Status (virtuelle, möglichst realistische Welt, die realen Freunde als Bewunderer, statt fremde Spieler, etc.).</t>
        </r>
      </text>
    </comment>
    <comment ref="B21" authorId="0">
      <text>
        <r>
          <rPr>
            <b/>
            <sz val="9"/>
            <color indexed="81"/>
            <rFont val="Tahoma"/>
            <family val="2"/>
          </rPr>
          <t>Michael Schöggl:</t>
        </r>
        <r>
          <rPr>
            <sz val="9"/>
            <color indexed="81"/>
            <rFont val="Tahoma"/>
            <family val="2"/>
          </rPr>
          <t xml:space="preserve">
</t>
        </r>
        <r>
          <rPr>
            <b/>
            <sz val="9"/>
            <color indexed="81"/>
            <rFont val="Tahoma"/>
            <family val="2"/>
          </rPr>
          <t>Wieviel € gibt ein aktiver User im Durchschnitt für In-App-Käufe pro Monat aus?</t>
        </r>
        <r>
          <rPr>
            <sz val="9"/>
            <color indexed="81"/>
            <rFont val="Tahoma"/>
            <family val="2"/>
          </rPr>
          <t xml:space="preserve">
</t>
        </r>
        <r>
          <rPr>
            <u/>
            <sz val="9"/>
            <color indexed="81"/>
            <rFont val="Tahoma"/>
            <family val="2"/>
          </rPr>
          <t>Begründung für diesen Wert</t>
        </r>
        <r>
          <rPr>
            <sz val="9"/>
            <color indexed="81"/>
            <rFont val="Tahoma"/>
            <family val="2"/>
          </rPr>
          <t xml:space="preserve">:
- Wir rechnen mit 0,3 € (Q3 2020) bis 0,93 € (Q4 2022) pro Monat.
- Das sind sehr vorsichtige, pessimistische Schätzwerte, da offizielle Zahlen und Vergleiche mit anderen Apps/Spielen deutlich höhere Durchschnittswerte belegen. Siehe hierzu Quellen 04 bis 08. WeChat ARPU: 35 $.
- connect ist keine reine App, sondern auch als PC- bzw. PlayStation-Version und in VR erhältlich; dadurch können wir mit den deutlich höheren Einnahmen aus der Online-Spiele-Branche rechnen (siehe Quelle 08, im Durchschnitt 20 € pro Jahr). 
- Da connect "hochwertig" ist/wirkt (kein 2D-Handy-Spiel, sondern ein fotorealistischer Raum um mich herum), ist es sehr wahrscheinlich, dass unsere User auch mehr Geld auszugeben bereit sind, um ihr virtuelles Reich zu verbessern.
- Die gekauften Inhalte haben "persönliche Relevanz" (es sind keine Gimmicks für eine Spielfigur, sondern für </t>
        </r>
        <r>
          <rPr>
            <i/>
            <sz val="9"/>
            <color indexed="81"/>
            <rFont val="Tahoma"/>
            <family val="2"/>
          </rPr>
          <t>mein</t>
        </r>
        <r>
          <rPr>
            <sz val="9"/>
            <color indexed="81"/>
            <rFont val="Tahoma"/>
            <family val="2"/>
          </rPr>
          <t xml:space="preserve"> virtuelles Leben / Reich). 
- Durch den Social-Network-Aspekt erhöhen exklusive Inhalte meinen Sozial-Status gegenüber allen Freunden und nicht nur gegenüber anderen, unbekannten Gamern. 
- Viele In-App-Käufe sind tatsächlich nützlich (z.B. funktionelle Updates), es ist leicht, sie als sinnvoll zu betrachten und insofern auch eher Geld dafür auszugeben. Zudem sind es nicht nur spielerische Inhalte, sondern auch Medien- bzw. Erlebnis-Inhalte, deren Kauf kein negatives Image hat und mehr allgemeine Akzeptanz findet.
- Investitionen in Spiele haben nur kurz einen Wert, bald ist das Spiel nicht mehr interessant, die Preise verfallen (siehe Pokemon Go); bei einem sozialen Netzwerk bleiben meine Investments erhalten. 
- connect-Inhalte können verkauft, verschenkt und vertauscht werden, die Inhalte behalten dadurch an Wert. Das gilt für ALLE Freunde, nicht nur für fremde Gamer.
- Allein ein tauschbares, züchtbares interaktives, täuschend realistisches Haustier in VR wie z.B. ein Tigerbaby - dafür (oder für eine komplett neues Zuhause, z.B. einem Star Wars Raumschiff oder auf einem Piratenschiff) sind User eher bereit 1-15 € zu zahlen, als für Futter für einen "Pou" (bitte googlen). 
- Unsere In-App-Käufe sprechen zudem eine viel größere Zielgruppe an (z.B. VR Sex, VR Haustiere oder süße virtuelle Geschenke für Freunde oder nützliche Funktionen), als klassische In-App-Käufe in sehr spezifischen Spielen.
- connect wird eine Geldmaschine und unsere Schätzwerte sind (mittelfristig) lächerlich gering. 
- Ich könnte ein 500-Seiten-Buch darüber schreiben, warum wir viiiiel höhere Einnahmen durch In-App-Einnahmen haben werden, als der Durchschnitt in den zitierten Quellen. Das ist ein Thema, das wir diskutieren sollten.</t>
        </r>
      </text>
    </comment>
    <comment ref="C21" authorId="0">
      <text>
        <r>
          <rPr>
            <b/>
            <sz val="9"/>
            <color indexed="81"/>
            <rFont val="Tahoma"/>
            <family val="2"/>
          </rPr>
          <t>Michael Schöggl:</t>
        </r>
        <r>
          <rPr>
            <sz val="9"/>
            <color indexed="81"/>
            <rFont val="Tahoma"/>
            <family val="2"/>
          </rPr>
          <t xml:space="preserve">
</t>
        </r>
        <r>
          <rPr>
            <b/>
            <sz val="9"/>
            <color indexed="81"/>
            <rFont val="Tahoma"/>
            <family val="2"/>
          </rPr>
          <t>Um wieviel € pro Quartal werden sich die In-App-Ausgaben der User erhöhen lassen?</t>
        </r>
        <r>
          <rPr>
            <sz val="9"/>
            <color indexed="81"/>
            <rFont val="Tahoma"/>
            <family val="2"/>
          </rPr>
          <t xml:space="preserve">
</t>
        </r>
        <r>
          <rPr>
            <u/>
            <sz val="9"/>
            <color indexed="81"/>
            <rFont val="Tahoma"/>
            <family val="2"/>
          </rPr>
          <t>Begründung für diesen Wert</t>
        </r>
        <r>
          <rPr>
            <sz val="9"/>
            <color indexed="81"/>
            <rFont val="Tahoma"/>
            <family val="2"/>
          </rPr>
          <t>:
- Je mehr Inhalte wir anbieten, umso mehr wird auch gekauft. 
- Ist die Hemmschwelle mal gefallen, werden Stammkunden schneller und leichter weitere Käufe tätigen.
- Im Laufe der Quartale sammeln sich "Stammkunden" an, deren Verbundenheit mit connect immer stärker wird. Diese werden einen Sammlerehrgeiz entwickeln und möglichst viel / alles kaufen, was kaufbar ist.
- Wir werden die Anzahl der kaufbaren Inhalte zu Beginn sehr gering und überschaubar halten, damit ein Sammler-Instinkt entstehen kann (wenn es unmöglich ist, alles zu besitzen, wird dieser abgewürgt). Ein Prozentsatz der User wird versuchen alles zu erwerben, was es gibt. Langsam werden wir diese Anzahl steigern, d.h. es kommen mehr neue monatliche Inhalte dazu.
- Je mehr User connect bekommt, umso mehr Motivation entsteht, Freunden etwas zu kaufen und zu schenken (weil mehr Freunde auch connect verwenden).
- Je mehr User connect hat, umso eher werden In-App-Käufe ein positives, sozial angesehenes Image entwickeln. Die Hemmschwelle sinkt, auch deshalb, weil durch die Tauschbarkeit der Items der fiktive Wert nicht so leicht verloren geht.
- Zeitlich begrenzte Kaufmöglichkeiten werden dazu führen, dass manche User ihren Einkauf teurer weiterverkaufen können, weil die Userzahl und damit die Nachfrage gestiegen ist. Solche Strategien können wir nur im Laufe der Zeit entwickeln, wenn wir aber dieses Image der "Wertigkeit" unserer Inhalte erreicht haben, werden auch mehr Menschen Geld ausgeben.
- Der VR-Markt wächst, das Interesse an VR wächst, mehr Prozent unserer User werden VR-Technik verwenden und damit werden auch unsere klassischen VR-In-App-Käufe wie z.B. virtuelle Szenen / Räume / Einrichtungen an Beliebtheit zunehmen.</t>
        </r>
      </text>
    </comment>
    <comment ref="A22" authorId="0">
      <text>
        <r>
          <rPr>
            <b/>
            <sz val="9"/>
            <color indexed="81"/>
            <rFont val="Tahoma"/>
            <family val="2"/>
          </rPr>
          <t>Michael Schöggl:</t>
        </r>
        <r>
          <rPr>
            <sz val="9"/>
            <color indexed="81"/>
            <rFont val="Tahoma"/>
            <family val="2"/>
          </rPr>
          <t xml:space="preserve">
- Im virtuellen Zuhause der User werden alle Objekte Markenprodukte sein und da jedes Objekt eine Funktion hat (z.B. Fotos machen mit der Kamera), wird diese unterschwellige Product Placement Werbung nicht als aufdringlich wahrgenommen.
- Aktuell gibt es 2 Räume mit rund 15 verschiedenen Markenprodukten, langfristig wird der User sein virtuelles Zuhause um zahlreiche Räume erweitern, es wird komplett neue Szenen geben (z.B. eine Bar, um andere User zu treffen, Kino, Stadt, etc.). Dadurch werden immer mehr "Slots" für Markenprodukte geschaffen.
- Der User kann (in seinem eigenen Zuhause) alles individualisieren und wird z.B. regelmäßig neue Kamera-Modelle anzeigen, auch, weil er ein gewisses Interesse daran hat, immer das Neueste virtuell zu besitzen. Dadurch verdienen wir pro Slot und Jahr mehrmals, bei mehreren unterschiedlichen Markenprodukten. 
- Es gibt viele psychologische Gründe (siehe Kommentare bei den Werte), warum diese Form der Werbung effektiver ist, als alle anderen Zugänge, die es aktuell weltweit gibt.
- Der User wird die Möglichkeit haben, sich zu allen Objekten Informationen anzeigen zu lassen, z.B. wo er es um welchen (günstigsten) Preis kaufen kann, wie lang die Lieferung dauert, welche Bewertungen andere gegeben haben und welche technischen Eigenschaften die Objekte haben. Mittelfristig kann er sie direkt über uns bestellen, in Zusammenarbeit mit Amazon / Alibaba bzw. längerfristig eventuell durch einen eigenen Vertrieb (siehe dazu 2.5 Provision für direkte Online-Einkäufe). </t>
        </r>
      </text>
    </comment>
    <comment ref="B22" authorId="0">
      <text>
        <r>
          <rPr>
            <b/>
            <sz val="9"/>
            <color indexed="81"/>
            <rFont val="Tahoma"/>
            <family val="2"/>
          </rPr>
          <t xml:space="preserve">Michael Schöggl:
Wieviel € pro Monat und User verdienen wir mit Product Placement?
</t>
        </r>
        <r>
          <rPr>
            <u/>
            <sz val="9"/>
            <color indexed="81"/>
            <rFont val="Tahoma"/>
            <family val="2"/>
          </rPr>
          <t>Begründung für diesen Wert</t>
        </r>
        <r>
          <rPr>
            <sz val="9"/>
            <color indexed="81"/>
            <rFont val="Tahoma"/>
            <family val="2"/>
          </rPr>
          <t>:
- Wir werden mindestens folgende Prämien verlangen (die Preise könnten nach genauer Prüfung auch höher angesetzt werden, hier wollen wir mit vielen Experten und Partnern sprechen): 
&gt; 1 hour:      0.15 €/$ 
&gt; 2 hours: + 0.12 €/$ 
&gt; 3 hours: + 0.10 €/$ 
&gt; 4 hours: + 0.08 €/$ 
&gt; 5 hours: + 0.05 €/$
= insgesamt maximal 50 Cent.</t>
        </r>
        <r>
          <rPr>
            <sz val="9"/>
            <color indexed="81"/>
            <rFont val="Tahoma"/>
            <family val="2"/>
          </rPr>
          <t xml:space="preserve">
- Die Werbung ist unterschwellig, nicht aufdringlich, wirkt über Stunden, Tage oder Monate (statt Sekunden), die Objekte sind interaktiv und teilweise lustig, der User gewöhnt sich an sie, baut eine Bindung zu ihnen auf. Die Werbung ist ganz nahe an der Realität (keine abstrakte Verbindung) und wir können das positive Erlebnis mit den Objekten gezielt steuern (durch z.B. lustige, spannende, positive Ereignisse).
- Jeder NEUE Werbezugang trifft zu Beginn auf weniger Abwehr, warum Profis immer nach neuen Zugängen suchen, die noch nicht durch viele Konkurrenten überlaufen sind und beim Kunden zur Sättigung und Abwehr führen. Daher ist unser Werbezugang äußerst effektiv. 
- Der User wird alle Objekte in 3D von allen Seiten bewundern können, kann sie hochheben, neu platzieren. Er kann Materialien austauschen (z.B. bei Möbeln das Funier oder den Bezug wechseln) und sich somit alles so gestalten, wie es ihm gefällt. Die Objekte, die er im Raum hat, werden seinem Geschmack entsprechen (zielgruppenspezifisch) und der User wird seine Entscheidung aufgrund des Bedürfnisses "Recht zu behalten" gegenüber sich und anderen verteidigen, er wird zum Verfechter seiner Wahl. 
- Weitere Infos und Argumente: siehe Wert rechts und Beschreibung links!
</t>
        </r>
      </text>
    </comment>
    <comment ref="C22" authorId="0">
      <text>
        <r>
          <rPr>
            <b/>
            <sz val="9"/>
            <color indexed="81"/>
            <rFont val="Tahoma"/>
            <family val="2"/>
          </rPr>
          <t>Michael Schöggl:</t>
        </r>
        <r>
          <rPr>
            <sz val="9"/>
            <color indexed="81"/>
            <rFont val="Tahoma"/>
            <family val="2"/>
          </rPr>
          <t xml:space="preserve">
</t>
        </r>
        <r>
          <rPr>
            <b/>
            <sz val="9"/>
            <color indexed="81"/>
            <rFont val="Tahoma"/>
            <family val="2"/>
          </rPr>
          <t>Um wieviel Cent pro Quartal werden sich die monatlichen Einnahmen durch Product Placement erhöhen?</t>
        </r>
        <r>
          <rPr>
            <sz val="9"/>
            <color indexed="81"/>
            <rFont val="Tahoma"/>
            <family val="2"/>
          </rPr>
          <t xml:space="preserve">
</t>
        </r>
        <r>
          <rPr>
            <u/>
            <sz val="9"/>
            <color indexed="81"/>
            <rFont val="Tahoma"/>
            <family val="2"/>
          </rPr>
          <t>Begründung für diesen Wert</t>
        </r>
        <r>
          <rPr>
            <sz val="9"/>
            <color indexed="81"/>
            <rFont val="Tahoma"/>
            <family val="2"/>
          </rPr>
          <t xml:space="preserve">:
- Wie im Kommentar der Beschreibung links dargestellt, gibt es zu Beginn rund 15 Slots in den aktuell 2 Räumen, um Markenprodukte anzuzeigen. Unsere VR-Welt wächst, es werden im Laufe der Zeit hunderte Slots werden. Da der User regelmässig seine eigenen Objekte im Raum im Zuge der Individualisierung austauschen wird (z.B. im Schnitt alle 3 Monate die Möbel) und wir bei öffentlichen Räumen (z.B. Bar, Stadt, etc.) gleich verfahren, können wir pro Slot mehrmals pro Jahr mit Einnahmen von unterschiedlichen Partnern rechnen. Jeder Slot wird also mehr bringen, als 50 Cent pro User.
- Wir rechnen hier mit extrem vorsichtigen, bescheidenen Werten. Statistische Daten zeigen, dass User im Durchschnitt mehrere Stunden am Tag aktiv sind, in einem virtuellen Zuhause bzw. einer virtuellen Welt vllt sogar mehr. Je aktiver, umso länger betrachtet er die Product Placement Werbung. 
- Bei 27 Cent pro User und Monat würden wir davon ausgehen, dass der User in diesem Monat nur eines der aktuell 15 Objekte für mehr als 2 Stunden gesehen hat, oder 2 Objekte für jeweils mehr als 1 Stunde (siehe Preisgestaltung im Kommentar links). 
- Natürlich liegen die meisten Objekte direkt im Blick der Standard-Bildschirmausschnitte, die der User regelmäßig verwendet, z.B. am virtuellen Schreibtisch, wo alle Social Network Funktionen zu finden sind. Da die Objekte alle Funktionen haben, werden sie zwangsläufig regelmäßig betrachtet.
- Es ist extrem viel Luft nach oben. Langfristig könnten User pro Monat bei 50 Objekten die Obergrenze von 5 Stunden Betrachtung erreichen, das wären dann 25 € pro MONAT! 
- Zudem sind unsere Preise mehr als moderat und könnten deutlich höher sein, oder angehoben werden (wenn sich immer mehr Unternehmen um unsere Werbung streiten - vgl. Google/Facebook: die Preise sind dann die Höchstgebote). 
- Darum rechnen wir natürlich mit einer Steigerung der Einnahmen pro Quartal, 10 Cent sind sehr pessimistisch und locker zu erreichen. </t>
        </r>
      </text>
    </comment>
    <comment ref="A23" authorId="0">
      <text>
        <r>
          <rPr>
            <b/>
            <sz val="9"/>
            <color indexed="81"/>
            <rFont val="Tahoma"/>
            <family val="2"/>
          </rPr>
          <t xml:space="preserve">Michael Schöggl:
</t>
        </r>
        <r>
          <rPr>
            <sz val="9"/>
            <color indexed="81"/>
            <rFont val="Tahoma"/>
            <family val="2"/>
          </rPr>
          <t xml:space="preserve">
- Ca. 30% Provision an allen Verkäufen.
- Zu Beginn bringt uns dieser Zugang weniger, als unser eigener In-App-Shop unter 2.1, aber je mehr User wir haben, umso mehr Drittanbieter werden Inhalte für connect bauen und umso mehr Kaufmöglichkeiten werden User haben und auch nutzen. 
- Große Unternehmen wie Walt Disney sollen z.B. ihre Welten als VR-Szene bereitstellen - z.B. Star Wars oder Fluch der Karibik. Für solche fotorealistischen, interaktiven VR-Szenen können die Preise deutlich höher sein (ca. 5-10 €), als bei virtuellen Haustieren, Spielen, Gimmicks und Co.</t>
        </r>
      </text>
    </comment>
    <comment ref="B23" authorId="0">
      <text>
        <r>
          <rPr>
            <b/>
            <sz val="9"/>
            <color indexed="81"/>
            <rFont val="Tahoma"/>
            <family val="2"/>
          </rPr>
          <t>Michael Schöggl:</t>
        </r>
        <r>
          <rPr>
            <sz val="9"/>
            <color indexed="81"/>
            <rFont val="Tahoma"/>
            <family val="2"/>
          </rPr>
          <t xml:space="preserve">
</t>
        </r>
        <r>
          <rPr>
            <b/>
            <sz val="9"/>
            <color indexed="81"/>
            <rFont val="Tahoma"/>
            <family val="2"/>
          </rPr>
          <t>Wieviel € pro Monat verdienen wir durch Provision an Drittanbieter-Inhalten?</t>
        </r>
        <r>
          <rPr>
            <sz val="9"/>
            <color indexed="81"/>
            <rFont val="Tahoma"/>
            <family val="2"/>
          </rPr>
          <t xml:space="preserve">
</t>
        </r>
        <r>
          <rPr>
            <u/>
            <sz val="9"/>
            <color indexed="81"/>
            <rFont val="Tahoma"/>
            <family val="2"/>
          </rPr>
          <t>Begründung für diesen Wert</t>
        </r>
        <r>
          <rPr>
            <sz val="9"/>
            <color indexed="81"/>
            <rFont val="Tahoma"/>
            <family val="2"/>
          </rPr>
          <t>:
- Der Start wird sehr bescheiden sein, weil es nur wenige Drittanbieter geben wird. Durch den zweiten Wert (siehe Spalte rechts) wird der Zugewinn an weiteren Drittanbieter dargestellt, durch den dieses Geschäftsmodell sehr schnell an Bedeutung gewinnt.
- Der Wert ist auch deshalb deutlich geringer, als für In-App-Käufe, weil wir nur einen Anteil erhalten, nicht die volle Summe. Wir werden rund 30% an Provision verlangen.</t>
        </r>
      </text>
    </comment>
    <comment ref="C23" authorId="0">
      <text>
        <r>
          <rPr>
            <b/>
            <sz val="9"/>
            <color indexed="81"/>
            <rFont val="Tahoma"/>
            <family val="2"/>
          </rPr>
          <t>Michael Schöggl:</t>
        </r>
        <r>
          <rPr>
            <sz val="9"/>
            <color indexed="81"/>
            <rFont val="Tahoma"/>
            <family val="2"/>
          </rPr>
          <t xml:space="preserve">
</t>
        </r>
        <r>
          <rPr>
            <b/>
            <sz val="9"/>
            <color indexed="81"/>
            <rFont val="Tahoma"/>
            <family val="2"/>
          </rPr>
          <t>Um wieviel € pro Quartal erhöhen sich unsere monatlichen Einnahmen durch Provision für Drittanbieter-Inhalte?</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mehr Drittanbieter werden über uns Inhalte verkaufen (z.B. alternative 3D-Umgebungen, virtuelle Haustiere oder klassische Merchandising-Produkte in VR).
- Die Zahl ist gleich hoch, wie bei In-App-Käufen, stellt aber eine fast dreimal so schnelle Steigerung dar, weil wir nur ca. 30% an Provision von diesen In-App-Inhalten erhalten werden. Wir gehen aber davon aus, dass rund 3/4 aller verfügbaren In-App-Käufe von Drittanbietern stammen werden und diese Einnahmequelle langfristig die Einnahmen durch eigene Inhalte überholen wird. 
- Wir werden nur Inhalte von Partnern zulassen, die höchsten Qualitätsansprüchen genügen und auch nur dann, wenn sie vor der Entwicklung abgesprochen waren. Wir werden es um jeden Preis verhindern, dass mindere Qualität unser Image zerstört, alle Inhalte müssen a.) funktionell und interaktiv, b.) möglichst fotorealistisch c.) preislich fair (d.h. eher günstig, Massenmarkt) sein. 
- Wir wollen auf keinen Fall, dass der Sammler-Instinkt unserer User durch ein Überangebot (noch dazu von schlechter Qualität - wo der Einkauf als unfair empfunden wird und die Zufriedenheit riskiert) zerstört wird. Es soll möglich bleiben, dass ein User alles kauft, was es gibt - ohne dass er dabei mehr als rund 1000 € ausgibt. Besonders seltene Inhalte werden nicht kaufbar sein (sondern z.B. Aufwand bedeuten oder durch Zufall limitiert), da bereits ein einziger kaufbarer Inhalt, der zu teuer ist, den Sammeltick bei fast allen Menschen zerstören würde.
- Geplante maximale Gesamtausgaben (wenn ein User alles kaufbare kauft): 2020: 70 €, 2021: 200 €, 2022: 400 €, ... 2023: 1000 €. Wir wollen, dass möglichst viele Menschen möglichst alles kaufen / sammeln. 
- Wir werden Anreize (Belohnungen, Visualisierungen, Titel etc.) für User schaffen, die alle kaufbaren Inhalte gesammelt haben (ebenso wie alle, die man z.B. durch den Tresor oder durch Erfolge erhalten kann, etc. - aber da wird das Erreichen des Ziels viel schwieriger sein, weshalb viele sich als Ersatz den Erfolg für alle kaufbaren Inhalte holen werden). </t>
        </r>
      </text>
    </comment>
    <comment ref="D23" authorId="0">
      <text>
        <r>
          <rPr>
            <b/>
            <sz val="9"/>
            <color indexed="81"/>
            <rFont val="Tahoma"/>
            <family val="2"/>
          </rPr>
          <t>Michael Schöggl:</t>
        </r>
        <r>
          <rPr>
            <sz val="9"/>
            <color indexed="81"/>
            <rFont val="Tahoma"/>
            <family val="2"/>
          </rPr>
          <t xml:space="preserve">
- Der Schätzwert zu Frage 7 (Einnahmen durch 2.3, 2.4 und 2.5) wird gleichmäßig auf 2.3, 2.4 und 2.5 aufgeteilt. In Wirklichkeit wird die Verteilung zwar ziemlich sicher nicht gleichmäßig sein, aber für das Ergebnis ist das irrelevant.</t>
        </r>
      </text>
    </comment>
    <comment ref="A24" authorId="0">
      <text>
        <r>
          <rPr>
            <b/>
            <sz val="9"/>
            <color indexed="81"/>
            <rFont val="Tahoma"/>
            <family val="2"/>
          </rPr>
          <t>Michael Schöggl:</t>
        </r>
        <r>
          <rPr>
            <sz val="9"/>
            <color indexed="81"/>
            <rFont val="Tahoma"/>
            <family val="2"/>
          </rPr>
          <t xml:space="preserve">
- Wenn User über uns zu VR-Shops vermittelt werden und in diesen einkaufen, verlangen wir zwischen 1 bis 5 % an Provision (der Wert steht noch nicht fest, er soll mit Experten und Partnern besprochen werden). 
- VR-Shops müssen irgendwie an User kommen, diese sind in der Regel zu faul, um extra dafür eine Software runterzuladen, sich anzumelden, auf Gerätekompatibilität zu prüfen, ihre Bezahldaten für jeden Shop extra anzugeben, etc. Daher könnten wir das "Amazon in VR" werden, wir übernehmen diesen Service und verlangen dafür Provision. 
- Wir könnten auch das Erstellen von VR-Shops anbieten, damit diese bestmöglich unseren Anforderungen entsprechen. Allgemein aber ist connect so gestaltet, dass bestmöglich Schnittstellen zu VR-Shops unterstützt. Wir arbeiten mit Unity, einer Game Enigne, mit der rund 70 % der gesamten VR/AR-Software weltweit erstellt wird. Alle Unity-Szenen wären plattformunabhängig und leicht mit uns verknüpfbar. 
- Wir wollen mittelfristig ein Baukasten-System anbieten, mit dem jeder Partner sehr einfach einen VR-Shop in Unity erstellen kann und mit unserem Netzwerk anknüpfen. Dasselbe haben wir für Medien bereits gemacht - dort gibt es bereits eine Online-Plattform für die Verknüpfung aller Video-, Audio-, Print- oder Internet-Medien mit unserem virtuellen Zuhause. Der Aufwand beträgt weniger als 30 Minuten, auch der Aufwand für VR-Shops soll minimalisiert werden. 
- Ein Baukasten könnte den Partnern ermöglichen, dass sie sich sehr schnell einen Shop zusammenbasteln, mit Logos, Einrichtung und Design schmücken und nur noch ihre eigenen, verkaufbaren Produkte als 3D-Modelle einbringen müssen. Diese existieren schon jetzt für die meisten Produkte, weil die "Fotos" auf Amazon keine Fotos sondern 3D-Renderings von 3D-Modellen sind. 
- Wir haben mit einer Vielzahl von internationalen Unternehmen bei Business-Veranstaltungen gesprochen und wissen genau, worauf es ankommt und wie wir hier das einfachste, attraktivste Modell einer Zusammenarbeit gestalten müssen. 
- Auch ohne unseren Baukasten: Wer einen VR-Shop baut, wird gut darin beraten sein, ihn Unity-tauglich zu kreieren, weil er ihn nur so kompatibel mit vielen Plattformen (Hardware) und Netzwerken (Software) gestalten kann. 
- Oculus (Facebook) und Amazon versuchen einen restriktiven Weg zu gehen und eine eigene Enigne für die Erstellung von VR-Inhalten anzubieten (es gibt bisher nur Ankündigungen), aber dann wären alle Partner "gefangen" und abhängig und würden nur über eine Hardware (Oculus Brille) bzw. einen Anbieter (Amazon) ihre Shops anbinden können. Es ist sehr wahrscheinlich, dass es uns gelingt, mehr Partner durch eine nicht restriktive Politik zu gewinnen, weil deren Shops nicht nur mit unserem Produkt funktionieren würden, sondern bei ca. 90% aller Anbieter. Außerdem ist die Enigne Unity mit 12 Jahren Vorsprung viel besser, als die noch unfertigen Neuentwicklungen von Amazon und Facebook. Wir sind hier vergleichbar mit Microsoft bzw. Android (unterstützen möglichst alles) versus Apple bzw. iPhone (restriktive Politik, die von FB und Amazon kopiert wird).</t>
        </r>
      </text>
    </comment>
    <comment ref="B24" authorId="0">
      <text>
        <r>
          <rPr>
            <b/>
            <sz val="9"/>
            <color indexed="81"/>
            <rFont val="Tahoma"/>
            <family val="2"/>
          </rPr>
          <t>Michael Schöggl:</t>
        </r>
        <r>
          <rPr>
            <sz val="9"/>
            <color indexed="81"/>
            <rFont val="Tahoma"/>
            <family val="2"/>
          </rPr>
          <t xml:space="preserve">
</t>
        </r>
        <r>
          <rPr>
            <b/>
            <sz val="9"/>
            <color indexed="81"/>
            <rFont val="Tahoma"/>
            <family val="2"/>
          </rPr>
          <t xml:space="preserve">
Wieviel € werden wir pro Monat an Provision für die Vermittlung unserer User zu VR-Shops erhalten?</t>
        </r>
        <r>
          <rPr>
            <sz val="9"/>
            <color indexed="81"/>
            <rFont val="Tahoma"/>
            <family val="2"/>
          </rPr>
          <t xml:space="preserve">
</t>
        </r>
        <r>
          <rPr>
            <u/>
            <sz val="9"/>
            <color indexed="81"/>
            <rFont val="Tahoma"/>
            <family val="2"/>
          </rPr>
          <t>Begründung für diesen Wert</t>
        </r>
        <r>
          <rPr>
            <sz val="9"/>
            <color indexed="81"/>
            <rFont val="Tahoma"/>
            <family val="2"/>
          </rPr>
          <t xml:space="preserve">:
- Der Wert startet sehr bescheiden, weil zu Beginn (ab 2021) noch wenige VR-Shops an uns angebunden sein werden und auch nur wenige erste Early Adopter User in VR einkaufen werden. 
- Die Steigerung rechts ist deutlich höher (siehe Begründung dafür im Kommentar rechts). 
- Wir werden ca. 2 - 10 % an Provision für Einkäufe, die durch uns vermittelt wurden, verlangen. Dieser Wert soll noch von Experten und in Absprache mit Partnern geprüft und gegebenfalls angepasst werden. 
</t>
        </r>
      </text>
    </comment>
    <comment ref="C24" authorId="0">
      <text>
        <r>
          <rPr>
            <b/>
            <sz val="9"/>
            <color indexed="81"/>
            <rFont val="Tahoma"/>
            <family val="2"/>
          </rPr>
          <t>Michael Schöggl:
Um wieviel € pro Quartal steigern sich unsere monatlichen Einnahmen durch Provision für VR-Shops?</t>
        </r>
        <r>
          <rPr>
            <sz val="9"/>
            <color indexed="81"/>
            <rFont val="Tahoma"/>
            <family val="2"/>
          </rPr>
          <t xml:space="preserve">
</t>
        </r>
        <r>
          <rPr>
            <u/>
            <sz val="9"/>
            <color indexed="81"/>
            <rFont val="Tahoma"/>
            <family val="2"/>
          </rPr>
          <t>Begründung für diesen Wert</t>
        </r>
        <r>
          <rPr>
            <sz val="9"/>
            <color indexed="81"/>
            <rFont val="Tahoma"/>
            <family val="2"/>
          </rPr>
          <t xml:space="preserve">:
- Die ersten Unternehmen, die ihre Waren auch zum Kauf in VR-Shops anbieten, werden allein durch die Neugier der VR-User, die solche Shops mal erleben wollen, eine neue, zusätzliche Zielgruppe erschließen.
- Selbst, wenn das nicht stimmt: kein großes Unternehmen wird es sich leisten können, diesen Markt zu verschlafen. Wer würde schon gerne das Online-Shopping komplett verschlafen? Es gehört beinahe zur Pflicht eines großen Unternehmens, im Zuge der Risikominimierung, möglichst rasch auch einen VR-Shop anzubieten (Beispiele wie Kodak oder Nokia schrecken Manager, die sich gegenüber Aktionären verantworten müssen, ab).
- Die Erstellung eines VR-Shops kostet nicht mehr als ca. 100.000 bis 2 Millionen Euro. Wir könnten solche Auftragsarbeiten auch anbieten, wenn wir wollen! (Nachfrage haben wir bereits mehr als genug erhalten). 
- Das Feedback von mehr als einem Dutzend großer Unternehmen (darunter Porsche, A1, Red Bull, Deutsche Telekom, Wirecard, Casino-Anbieter etc.) war, dass sie ernsthaft an einem VR-Shop interessiert sind, ihn uns in Auftrag geben würden oder bereits selbst daran arbeiten. 
- Auch Statistiken (siehe Quelle 17) belegen, dass viele Unternehmen sehr bald (wir rechnen ab 2021) VR-Shops anbieten werden. Zudem belegen sie (siehe Quelle 5), dass Shopping-Apps im Schnitt pro User rund 2,68 € pro Monat verdienen. 
- Wir haben connect (mit der weitweit größten VR- und Game Engine Unity) so modular und erweiterbar entwickelt, dass unsere App mit möglichst vielen VR-Erlebnissen verknüpft werden kann. Es wird uns leichter, als anderen Mitbewerbern fallen, fast jeden VR-Inhalt (und somit auch Shops) anzubinden. Selbst, wenn das in einigen Fällen nicht automatisch gehen sollte, wäre der Aufwand für ein Unternehmen, ihren Shop für uns anknüpfbar zu machen, sehr gering (3D kann importiert werden und für die Funktionalität des Einkaufens bieten wir eine eigene Lösung an).
- Es ist unser Ziel, connect zum größten VR-Netzwerk der Welt zu entwickeln, also so flexibel erweiterbar, dass möglichst jeder VR-Inhalt mit unserer VR-Welt verbunden werden kann. Wir haben hier sehr viel Zeit und Geld in die Entwicklung eines plattformunabhängigen, modularen Systems gesteckt, das diesen Anforderungen besser als jeder Mitbewerber gerecht werden kann. Details bitte persönlich besprechen. 
- VR-Shopping wird langfristig einen ähnlich großen Markt wie Online-Shopping erzielen und wenn es uns gelingt, DIE Anlaufstelle für VR-Shops zu werden, um an neue Kunden zu kommen, dann wird dieses Geschäftsmodell mit Abstand alle übrigen (ohnehin bereits sehr lukrativen) in den Schatten stellen. 
- Kein Mensch lädt eine eigene Software herunter, registriert sich extra, stellt Bezahlmöglichkeiten ein, kümmert sich um Updates, Patches und Geräteinkompatibilitäten, nur, um Zugang zu einem VR-Shop zu erhalten, dessen Anbieter er nicht einmal kennt. Die User müssen komplett ohne Aufwand auf die Idee gebracht werden, dass es diese Produkte in VR zu kaufen gibt und sie ihrem Interesse entsprechen. Sie laufen durch eine virtuelle Stadt, wo jene Shops, die sie speziell interessieren, instanziert werden, oder sie bekommen Vorschläge am virtuellen Fernseher (wie TV-Sender) und teleportieren sich rein.
- Jeder Anbieter eines VR-Shops wird auf eine Vermittlung wie die unsere angewiesen sein, um an Kunden zu kommen. Menschen kaufen auch lieber bei Amazon ein, als den Online-Shop eines unbekannten kleines Anbieters zu suchen, zu finden und sich dort anzumelden. In VR ist der Aufwand noch viel höher, weil eine 3D-Shop-Umgebung manuell heruntergeladen und installiert werden müsste, anstatt über uns automatisch verknüpft zu werden.
- Eine Steigerung um rund 10 Cent pro Quartal ist realistisch, das entspräche bei 5% Provision einem Anwachsen der durchschnittlichen monatlichen Shopping-Ausgaben um 2 € (bzw. 8 € pro Jahr). Verglichen mit den Einkünften durch Online-Shopping, ist das sehr vorsichtig.
- VR-Shops haben werden langfristig deutlich beliebter sein, als Online-Shops, weil der User seine Einkäufe an seinem virtuellen Avatar (Spielfigur) in fotorealistischer Grafik erproben kann. Z.B. sammelt eine Frau hunderte virtuelle Schuhe aus VR-Shops in ihrem virtuellen Zuhause, probiert diese mit ihrem Avatar (der aussieht, wie sie) an und bestellt ihre Lieblingsschuhe dann direkt über connect bzw. den angebundenen VR-Shop. Darüber kann jedes Produkt in VR von allen Seiten betrachtet werden und der User kann damit interagieren, z.B. Kamera-Funktionen ausprobieren oder aus verschiedenen Modellen wählen (z.B. verschiedene Materialien, Farben etc.). Die VR-Welt ist auch übersichtlicher und virtuell erprobte Produkte lassen sich in VR Freunden zeigen, was zu Feedback und Bestätigung ("Ja, das Kleid steht dir!") führt. </t>
        </r>
      </text>
    </comment>
    <comment ref="D24" authorId="0">
      <text>
        <r>
          <rPr>
            <b/>
            <sz val="9"/>
            <color indexed="81"/>
            <rFont val="Tahoma"/>
            <family val="2"/>
          </rPr>
          <t>Michael Schöggl:</t>
        </r>
        <r>
          <rPr>
            <sz val="9"/>
            <color indexed="81"/>
            <rFont val="Tahoma"/>
            <family val="2"/>
          </rPr>
          <t xml:space="preserve">
- Der Schätzwert zu Frage 7 (Einnahmen durch 2.3, 2.4 und 2.5) wird gleichmäßig auf 2.3, 2.4 und 2.5 aufgeteilt. In Wirklichkeit wird die Verteilung zwar ziemlich sicher nicht gleichmäßig sein, aber für das Ergebnis ist das irrelevant.</t>
        </r>
      </text>
    </comment>
    <comment ref="A25" authorId="0">
      <text>
        <r>
          <rPr>
            <b/>
            <sz val="9"/>
            <color indexed="81"/>
            <rFont val="Tahoma"/>
            <family val="2"/>
          </rPr>
          <t>Michael Schöggl:</t>
        </r>
        <r>
          <rPr>
            <sz val="9"/>
            <color indexed="81"/>
            <rFont val="Tahoma"/>
            <family val="2"/>
          </rPr>
          <t xml:space="preserve">
- Alle Product Placement Objekte in connect sollen ab 2021 auch gekauft werden können. Wir sprechen bereits mit Wirecard bezüglich Bezahlsystem und Kooperation. 
- Eine Zusammenarbeit mit Amazon (für die Logistik) wäre perfekt, ansonsten könnten wir auch nur vermitteln und der Produzent übernimmt selbst den Versand. Wir würden dann direkt zwischen Produzent und Konsument vermitteln, Provision verdienen, den Zwischenhandel ausschalten und den Versand den Unternehmen (oder Amazon) überlassen. 
- Wir rechnen mit 10% an Provision (dieser Richtwert muss erst von Experten geprüft werden, aber wenn der gesamte Zwischenhandel wegfällt und nur der Vertrieb übrig bleibt, sollte das mehr als fair sein).
- Langfristig können praktisch alle Produkte in unserer VR-Welt repräsentiert werden, entweder im virtuellen Zuhause (mit Büro) der User (auch im echten Zuhause lassen sich 95% aller Konsum-Produkte im Zuhause oder Büro finden) oder in Social Places, wie z.B. Bar, Kino, Shop, Stadt, Urlaubsziel etc.
- Vorteil: Im echten Leben wäre es sehr aufwendig, kostspielig und aufgrund mangelnder Informationen kaum schaffbar, genau jene Produkte, die unsere User interessieren, dort virtuell zu platzieren, wo sie schnell und unaufdringlich wahrgenommen werden. In VR ist das kinderleicht. 
- Die Objekte hätten dieselbe Funktion wie im realen Leben (damit der Zugang spielerisch ist und der User häufig interagiert) und der User könnte frei entscheiden, welche Produkte auftauchen dürfen (bzw. er direkt selbst auswählt und platziert) und welche nicht (damit es keine aufdringliche Werbung ist - gilt natürlich nicht für Social Places).
- User richten ihr virtuelles Zuhause mit virtuellen Gegenständen ein, die sie jederzeit direkt bestellen können - oder sie können in connect einstellen, wann welche Markenprodukte automatisch geliefert werden sollen, z.B. wenn das Klopapier ausgeht. Die Darstellung eines Mangels könnte im VR-Zuhause mit dem realen Zuhause übereinstimmen.</t>
        </r>
      </text>
    </comment>
    <comment ref="B25" authorId="0">
      <text>
        <r>
          <rPr>
            <b/>
            <sz val="9"/>
            <color indexed="81"/>
            <rFont val="Tahoma"/>
            <family val="2"/>
          </rPr>
          <t>Michael Schöggl:</t>
        </r>
        <r>
          <rPr>
            <sz val="9"/>
            <color indexed="81"/>
            <rFont val="Tahoma"/>
            <family val="2"/>
          </rPr>
          <t xml:space="preserve">
</t>
        </r>
        <r>
          <rPr>
            <b/>
            <sz val="9"/>
            <color indexed="81"/>
            <rFont val="Tahoma"/>
            <family val="2"/>
          </rPr>
          <t>Wieviel € pro User nehmen wir durch Provision für den Einkauf von Product Placement Produkten innerhalb unserer eigenen VR-Inhalte ein?</t>
        </r>
        <r>
          <rPr>
            <sz val="9"/>
            <color indexed="81"/>
            <rFont val="Tahoma"/>
            <family val="2"/>
          </rPr>
          <t xml:space="preserve">
</t>
        </r>
        <r>
          <rPr>
            <u/>
            <sz val="9"/>
            <color indexed="81"/>
            <rFont val="Tahoma"/>
            <family val="2"/>
          </rPr>
          <t>Begründung für diesen Wert</t>
        </r>
        <r>
          <rPr>
            <sz val="9"/>
            <color indexed="81"/>
            <rFont val="Tahoma"/>
            <family val="2"/>
          </rPr>
          <t>:
- Im Gegensatz zur Provision, wenn User in einem fremden VR-Shop einkaufen, bezieht sich diese Provision auf den Einkauf von Produkten, die direkt in den virtuellen Szenen, die wir selbst anbieten, positioniert waren. 
- Zu Beginn, mit 2021, wird nur ein Teil der Product Placement Partner bereit sein, dieser Erweiterung auf In-App-Käufe zuzustimmen (schließlich müssen wir zeigen, dass sich der Aufwand lohnt). Durch erste Erfolgszahlen werden sich immer mehr überzeugen lassen. Wir rechnen also mit einem langsamen Start. 
- Es ist sehr schwer abzuschätzen, wieviele unserer User direkt über connect einkaufen werden. Über das Internet kaufen Menschen sehr gerne ein, ebenso über Amazon. Wenn es uns gelingen würde, zu einem der beliebtesten Einkaufsorte in VR zu werden, würden wir mit ca. 5-20 € pro User und Jahr (nicht Monat) rechnen können. Realistisch ist jedoch weiteraus weniger:
- Schätzwert 2021: Jeder 100ste User kauft einmal im Jahr über uns ein Produkt um durchschnittlich 100 € (die meisten Produkte, wie Möbel, technische Geräte etc. sind teurer) und wir erhalten 10% Provision daran. Das entspräche nicht ganz 1 Cent pro User und Monat, unser Startwert.</t>
        </r>
      </text>
    </comment>
    <comment ref="C25" authorId="0">
      <text>
        <r>
          <rPr>
            <b/>
            <sz val="9"/>
            <color indexed="81"/>
            <rFont val="Tahoma"/>
            <family val="2"/>
          </rPr>
          <t>Michael Schöggl:</t>
        </r>
        <r>
          <rPr>
            <sz val="9"/>
            <color indexed="81"/>
            <rFont val="Tahoma"/>
            <family val="2"/>
          </rPr>
          <t xml:space="preserve">
</t>
        </r>
        <r>
          <rPr>
            <b/>
            <sz val="9"/>
            <color indexed="81"/>
            <rFont val="Tahoma"/>
            <family val="2"/>
          </rPr>
          <t>Um wieviel € pro Quartal steigern sich die Einnahmen durch Provision für den Verkauf von Produkten direkt innerhalb der connect VR-Umgebung?</t>
        </r>
        <r>
          <rPr>
            <sz val="9"/>
            <color indexed="81"/>
            <rFont val="Tahoma"/>
            <family val="2"/>
          </rPr>
          <t xml:space="preserve">
</t>
        </r>
        <r>
          <rPr>
            <u/>
            <sz val="9"/>
            <color indexed="81"/>
            <rFont val="Tahoma"/>
            <family val="2"/>
          </rPr>
          <t>Begründung für diesen Wert</t>
        </r>
        <r>
          <rPr>
            <sz val="9"/>
            <color indexed="81"/>
            <rFont val="Tahoma"/>
            <family val="2"/>
          </rPr>
          <t>:
- Schätzwert 2021: Jeder 100ste User kauft einmal im Jahr über uns ein Produkt um durchschnittlich 100 € (die meisten Produkte, wie Möbel, technische Geräte etc. sind teurer) und wir erhalten 10% Provision daran. Das entspräche nicht ganz 1 Cent pro User und Monat, unser Startwert.
- Schätzwerte 2024: Jeder 10te User kauft pro Jahr über connect Produkte im Wert von 300 €, wir erhalten 10% Provision. Das entspräche 0,25 € pro User und Monat, unser Zielwert. 
- Langfristig können wir die Einnahmen über dieses Geschäftsmodell deutlich steigern, wenn unsere VR-Welt wächst (also unsere User auch virtuelle Kinokarten, Reisen, Flüge, Gutscheine, Möbel, Geschenke, Dekoration, etc. kaufen) oder wenn wir dieses Geschäftsmodell um Essens-Lieferservices oder Abos für Alltags-Konsumgüter bzw. Lebensmittel erweitern. 
- Beispiel 1: Wir bieten einen eigenen Lieferservice an, bei dem der User auf einer virtuellen Karte am Schreibtisch die Position der Lieferung verfolgen kann. Die Auswahl der Speisen erfolgt über virtuelle Darstellungen derselben (z.B. auf einem Teller am Schreibtisch). Wir bauen ein automatisches System, wo jedes Restaurant sich einfach anmelden kann und wir übernehmen die Lieferung (durch Studenten, die mit einer App den kürzesten Weg angezeigt bekommen und mit dem eigenen Auto für alle Restaurants im Einzugsgebiet gleichermaßen arbeiten). 
- Beispiel 2: Beim virtuellen Kühlschrank stelle ich ein, welche Produkte in welcher Menge im echten Kühlschrank aufzufinden sein sollen - und bevor sie vollständig aufgebraucht werden (oder spätestens danach), wird automatisch Nachschub geliefert. Dasselbe für den Inhalt von Regalen, für Drogerieprodukte, Tierfutter etc.
- Es gibt endlos viele Möglichkeiten, mit einer virtuellen Welt Geld zu verdienen, aber diese langfristigen Ideen (Beispiel 1 und 2) fließen nicht in unsere Prognose ein, dafür sind sie viel zu zukunftsfern. Daher rechnen wir zunächst mit 1 Cent bis knapp 25 Cent pro User und Monat, bzw. mit einer Steigerung um 2 Cent pro Quartal.</t>
        </r>
      </text>
    </comment>
    <comment ref="D25" authorId="0">
      <text>
        <r>
          <rPr>
            <b/>
            <sz val="9"/>
            <color indexed="81"/>
            <rFont val="Tahoma"/>
            <family val="2"/>
          </rPr>
          <t>Michael Schöggl:</t>
        </r>
        <r>
          <rPr>
            <sz val="9"/>
            <color indexed="81"/>
            <rFont val="Tahoma"/>
            <family val="2"/>
          </rPr>
          <t xml:space="preserve">
- Der Schätzwert zu Frage 7 (Einnahmen durch 2.3, 2.4 und 2.5) wird gleichmäßig auf 2.3, 2.4 und 2.5 aufgeteilt. In Wirklichkeit wird die Verteilung zwar ziemlich sicher nicht gleichmäßig sein, aber für das Ergebnis ist das irrelevant.</t>
        </r>
      </text>
    </comment>
    <comment ref="A26" authorId="0">
      <text>
        <r>
          <rPr>
            <b/>
            <sz val="9"/>
            <color indexed="81"/>
            <rFont val="Tahoma"/>
            <family val="2"/>
          </rPr>
          <t>Michael Schöggl:</t>
        </r>
        <r>
          <rPr>
            <sz val="9"/>
            <color indexed="81"/>
            <rFont val="Tahoma"/>
            <family val="2"/>
          </rPr>
          <t xml:space="preserve">
- Medien können ein monatliches Abo bezahlen, um an Big Data Informationen zu kommen.
- Zu Beginn werden nur wenige Medien dieses Abo verwenden, aber je mehr User wir haben, umso mehr Medien werden in connect vertreten sein und umso mehr Medien werden auch diese verhältnismäßig moderaten Kosten gerne bezahlen, um mehr Informationen über ihre Rezipienten zu erhalten. 
- Diese Informationen helfen den Medien, die Werbeerträge zu steigern, weil sie die gewonnenen Informationen auch ihren Werbepartnern weitergeben können. Somit macht sich ein Abo auf jeden Fall schnell bezahlt.
- Wir würden die Kosten so gestalten, dass sie basierend auf Erfahrungswerten den Medien einen netten Gewinn ermöglichen, wenn sie die User-Daten an die Werbepartner weiterverkaufen. 
- Wir rechnen damit, dass jedem Werbepartner die anonymisierten Daten über jeden erreichten Konsumenten rund 0,5 Cent wert sind (also 500 Euro bei 100.000 erreichten Kunden), wir davon 0,2 Cent verlangen können (0,3 Cent gehen an die Medienpartner und motivieren sie zu diesem "Abo") und dass unsere User im Monat rund 50 Werbungen in connect konsumieren. Das bedeutet Einnahmen in Höhe von rund 10 Cent pro User und Monat langfristig. 
</t>
        </r>
      </text>
    </comment>
    <comment ref="B26" authorId="0">
      <text>
        <r>
          <rPr>
            <b/>
            <sz val="9"/>
            <color indexed="81"/>
            <rFont val="Tahoma"/>
            <family val="2"/>
          </rPr>
          <t xml:space="preserve">Michael Schöggl:
Wieviel € pro Monat und User verdienen wir im Schnitt mit unserem Medien-Abo?
</t>
        </r>
        <r>
          <rPr>
            <u/>
            <sz val="9"/>
            <color indexed="81"/>
            <rFont val="Tahoma"/>
            <family val="2"/>
          </rPr>
          <t xml:space="preserve">
Begründung für diesen Wert</t>
        </r>
        <r>
          <rPr>
            <sz val="9"/>
            <color indexed="81"/>
            <rFont val="Tahoma"/>
            <family val="2"/>
          </rPr>
          <t xml:space="preserve">: </t>
        </r>
        <r>
          <rPr>
            <b/>
            <sz val="9"/>
            <color indexed="81"/>
            <rFont val="Tahoma"/>
            <family val="2"/>
          </rPr>
          <t xml:space="preserve">
</t>
        </r>
        <r>
          <rPr>
            <sz val="9"/>
            <color indexed="81"/>
            <rFont val="Tahoma"/>
            <family val="2"/>
          </rPr>
          <t xml:space="preserve">
- Wir rechnen damit, dass jedem Werbepartner die anonymisierten Daten über jeden erreichten Konsumenten rund 0,5 Cent wert sind (also 500 Euro bei 100.000 erreichten Kunden). 
- Davon sind 0,2 Cent für uns und 0,3 Cent gehen an die Medienpartner und motivieren sie zu Abschluss dieses "Abos".
- Unsere User werden im Monat im Schnitt zwischen 50 (Beginn) und 300 (langfristig) Werbbeiträge in Medien (Video, Audio, Internet, Print) konsumieren. Das bedeutet Einnahmen in Höhe von rund 10 bis 60 Cent pro Monat und User. 
- Für unsere Prognose starten wir vorsichtig mit 0,01 €, weil es eine Zeit dauern wird, bis unsere Medienpartner vom Abo überzeugt sind und es genügend Medien-Inhalte in connect gibt, sodass auch genügend Werbung darin enthalten ist, um diese Werte (50 pro Monat) zu erreichen.</t>
        </r>
      </text>
    </comment>
    <comment ref="C26" authorId="0">
      <text>
        <r>
          <rPr>
            <b/>
            <sz val="9"/>
            <color indexed="81"/>
            <rFont val="Tahoma"/>
            <family val="2"/>
          </rPr>
          <t>Michael Schöggl:</t>
        </r>
        <r>
          <rPr>
            <sz val="9"/>
            <color indexed="81"/>
            <rFont val="Tahoma"/>
            <family val="2"/>
          </rPr>
          <t xml:space="preserve">
</t>
        </r>
        <r>
          <rPr>
            <b/>
            <sz val="9"/>
            <color indexed="81"/>
            <rFont val="Tahoma"/>
            <family val="2"/>
          </rPr>
          <t>Um wieviel € pro Quartal werden sich die monatlichen Einnahmen durch das Medien-Abo erhöhen?</t>
        </r>
        <r>
          <rPr>
            <sz val="9"/>
            <color indexed="81"/>
            <rFont val="Tahoma"/>
            <family val="2"/>
          </rPr>
          <t xml:space="preserve">
</t>
        </r>
        <r>
          <rPr>
            <u/>
            <sz val="9"/>
            <color indexed="81"/>
            <rFont val="Tahoma"/>
            <family val="2"/>
          </rPr>
          <t>Begründung für diesen Wert</t>
        </r>
        <r>
          <rPr>
            <sz val="9"/>
            <color indexed="81"/>
            <rFont val="Tahoma"/>
            <family val="2"/>
          </rPr>
          <t>:
- Wir schätzen hier sehr vorsichtig, auch wenn wir langfristig bis zu 60 Cent pro User und Monat durch diesen Zugang einnehmen könnten. 
- Der Erfolg dieses Geschäftsmodells ist viel stärker, als der unserer anderen Einnahmequellen unsicher und schwer durch Vergleiche mit anderen Produkten abschätzbar. Dass ein Freemium-Modell funktioniert, haben tausende Apps bewiesen, ebenso, dass Product Placement funktionieren wird. Big Data hat zwar auch eine erfolgreiche Geschichte, aber in dieser Zugang über ein Abosystem ist relativ neu. 
- Es ist gut möglich, dass wir über dieses Geschäftsmodell deutlich mehr einnehmen können, als nun prognostiziert, aber es ist ebenso gut möglich, dass der Zugang überhaupt nicht funktioniert. Immerhin ist die Medienschnittstelle grundsätzlich kostenlos und ein optionales Abo mit Extrakosten muss sich erst durchsetzen. Der Mehrwert von Big Data Informationen für die Werbetreibenden zuerst und dann in Folge für die Medienpartner müsste erst bewiesen werden.</t>
        </r>
      </text>
    </comment>
    <comment ref="A27" authorId="0">
      <text>
        <r>
          <rPr>
            <b/>
            <sz val="9"/>
            <color indexed="81"/>
            <rFont val="Tahoma"/>
            <family val="2"/>
          </rPr>
          <t>Michael Schöggl:</t>
        </r>
        <r>
          <rPr>
            <sz val="9"/>
            <color indexed="81"/>
            <rFont val="Tahoma"/>
            <family val="2"/>
          </rPr>
          <t xml:space="preserve">
- Sehr langfristig (geplant ab 2021) können wir in der immer größer werdenden connect-Welt (erweitert durch Inhalte von Partnern, Drittanbietern und später vllt sogar der User selbst) auch virtuelle Grundstücke (z.B. an VR-Shops aber auch an User) verkaufen. 
- Ähnliches hat Second Life gemacht und das Interesse für Businesspartner war größer, als der tatsächliche Nutzen. Daher werden nun Business-Partner durch diese Lektion eher vorsichtig sein und es wird etwas dauern, bis sich dieser Zugang durchsetzt. 
- Wir listen hier dieses Geschäftsmodell auf, um bei sehr optimistischen Prognosen Einnahmen darstellen zu können, 
rechnen in einer realistischen Prognose aber nicht damit (0). 
- Zwischen der ersten Facebook Homepage und dem, was Facebook heute ist, besteht ein riesen Unterschied. Und auch connect wird sich bei Erfolg gewaltig weiterentwickeln und bestimmt längerfristig neue Geschäftsmodelle wie jenes des Verkaufs von virtuellen Grundstücken, bezahlten Teleportationen in einer riesigen Welt oder dem Kauf von Avataren (Spielerfiguren) oder deren Ausrüstung eröffnen. Aber es ist zu gewagt, diese Einnahmen jetzt schon unter der Bezeichnung "realistische Prognose" abzuschätzen.</t>
        </r>
      </text>
    </comment>
    <comment ref="B27" authorId="0">
      <text>
        <r>
          <rPr>
            <b/>
            <sz val="9"/>
            <color indexed="81"/>
            <rFont val="Tahoma"/>
            <family val="2"/>
          </rPr>
          <t>Michael Schöggl:</t>
        </r>
        <r>
          <rPr>
            <sz val="9"/>
            <color indexed="81"/>
            <rFont val="Tahoma"/>
            <family val="2"/>
          </rPr>
          <t xml:space="preserve">
</t>
        </r>
        <r>
          <rPr>
            <b/>
            <sz val="9"/>
            <color indexed="81"/>
            <rFont val="Tahoma"/>
            <family val="2"/>
          </rPr>
          <t>Wieviel € könnten wir langfristig mit dem Verkauf von virtuellen Grundstücken, Avataren, Ausrüstungen oder Teleportationen in einer riesigen VR-Welt verdienen?</t>
        </r>
        <r>
          <rPr>
            <sz val="9"/>
            <color indexed="81"/>
            <rFont val="Tahoma"/>
            <family val="2"/>
          </rPr>
          <t xml:space="preserve">
</t>
        </r>
        <r>
          <rPr>
            <u/>
            <sz val="9"/>
            <color indexed="81"/>
            <rFont val="Tahoma"/>
            <family val="2"/>
          </rPr>
          <t>Begründung für diesen Wert</t>
        </r>
        <r>
          <rPr>
            <sz val="9"/>
            <color indexed="81"/>
            <rFont val="Tahoma"/>
            <family val="2"/>
          </rPr>
          <t xml:space="preserve">:
- Zu viele Voraussetzungen, zeitlich zu weit entfernt, zu viele Unsicherheiten, zu wenig Vergleiche - daher gehen wir für die realistische Prognose von 0 Einnahmen aus. </t>
        </r>
      </text>
    </comment>
    <comment ref="C27" authorId="0">
      <text>
        <r>
          <rPr>
            <b/>
            <sz val="9"/>
            <color indexed="81"/>
            <rFont val="Tahoma"/>
            <family val="2"/>
          </rPr>
          <t>Michael Schöggl:</t>
        </r>
        <r>
          <rPr>
            <sz val="9"/>
            <color indexed="81"/>
            <rFont val="Tahoma"/>
            <family val="2"/>
          </rPr>
          <t xml:space="preserve">
</t>
        </r>
        <r>
          <rPr>
            <b/>
            <sz val="9"/>
            <color indexed="81"/>
            <rFont val="Tahoma"/>
            <family val="2"/>
          </rPr>
          <t>Um wieviel € pro Quartal könnten sich die Einnahmen durch den Verkauf von virtuellen Grundstücken, Avataren, Ausrüstungen oder Teleportationen in einer riesigen VR-Welt erhöhen?</t>
        </r>
        <r>
          <rPr>
            <sz val="9"/>
            <color indexed="81"/>
            <rFont val="Tahoma"/>
            <family val="2"/>
          </rPr>
          <t xml:space="preserve">
</t>
        </r>
        <r>
          <rPr>
            <u/>
            <sz val="9"/>
            <color indexed="81"/>
            <rFont val="Tahoma"/>
            <family val="2"/>
          </rPr>
          <t>Begründung für diesen Wert</t>
        </r>
        <r>
          <rPr>
            <sz val="9"/>
            <color indexed="81"/>
            <rFont val="Tahoma"/>
            <family val="2"/>
          </rPr>
          <t xml:space="preserve">:
- Zu viele Annahmen, zeitlich zu weit entfernt, zu viele Unsicherheiten, zu wenig Vergleiche - daher gehen wir für die realistische Prognose von 0 Einnahmen aus. </t>
        </r>
      </text>
    </comment>
    <comment ref="A28" authorId="0">
      <text>
        <r>
          <rPr>
            <b/>
            <sz val="9"/>
            <color indexed="81"/>
            <rFont val="Tahoma"/>
            <family val="2"/>
          </rPr>
          <t>Michael Schöggl:</t>
        </r>
        <r>
          <rPr>
            <sz val="9"/>
            <color indexed="81"/>
            <rFont val="Tahoma"/>
            <family val="2"/>
          </rPr>
          <t xml:space="preserve">
- User werden ab ca. 2022 die Möglichkeit haben, eigene Medien "zu verlegen". Es können sich Gruppen bilden, die gemeinsam einen Fernseh- oder Radiokanal "bespielen", es wird die Möglichkeit geben, themenspezifische Artikel zu schreiben, die dann in virtuellen Zeitungen veröffentlicht werden, etc. 
- Wir überlasses es komplett dem freien Markt, welche neuen Medien mit welchen Inhalten oder Mitarbeitern und welchen Regeln (unentgeltlich, bezahlt, etc.) entstehen. Wir werden einen Baukasten anbieten, damit alle Einstellungen möglich sind - von Bezahlung pro Artikel bis hin zu Systemen, bei denen jeder Medienmitarbeiter abhängig von der Reichweite, Beliebtheit oder Bewertung seiner Beiträge einen Anteil der Werbeeinnahmen erhält.
- Nicht nur, aber vor allem in Video-Medien (Fernsehsender, Videoblog, etc.) werden unsere User bei Interesse Werbung schalten können und damit Geld verdienen können (vgl. YouTube, nur nicht als One-Man-Show, sondern als freies Unternehmen mit automatisierten Regeln). 
- Wir würden einen Anteil der Werbeeinnahmen in Höhe von ca. 30% verlangen. Eventuell sogar deutlich mehr, wie bei YouTube, wo keine/wenig Transparenz herrscht, aber die YouTuber bestimmt deutlich weniger als 70% erhalten. 
- Vergleiche mit YouTube und Co zeigen, dass wir bei starkem Interesse an diesen "frei gewachsenen Medien" auch rund 0,3 bis 2 Euro pro User und Monat einnehmen könnten, aber dieses Geschäftsmodell ist zu weit von der Realisierung entfernt, um in der realistischen Prognose Einnahmen zu erwarten.</t>
        </r>
      </text>
    </comment>
    <comment ref="B28" authorId="0">
      <text>
        <r>
          <rPr>
            <b/>
            <sz val="9"/>
            <color indexed="81"/>
            <rFont val="Tahoma"/>
            <family val="2"/>
          </rPr>
          <t>Michael Schöggl:</t>
        </r>
        <r>
          <rPr>
            <sz val="9"/>
            <color indexed="81"/>
            <rFont val="Tahoma"/>
            <family val="2"/>
          </rPr>
          <t xml:space="preserve">
</t>
        </r>
        <r>
          <rPr>
            <b/>
            <sz val="9"/>
            <color indexed="81"/>
            <rFont val="Tahoma"/>
            <family val="2"/>
          </rPr>
          <t xml:space="preserve">
Wieviel € pro User nehmen wir im Monat durch einen Anteil der Werbeeinnahmen der usergenerierten Medien ein?</t>
        </r>
        <r>
          <rPr>
            <sz val="9"/>
            <color indexed="81"/>
            <rFont val="Tahoma"/>
            <family val="2"/>
          </rPr>
          <t xml:space="preserve">
</t>
        </r>
        <r>
          <rPr>
            <u/>
            <sz val="9"/>
            <color indexed="81"/>
            <rFont val="Tahoma"/>
            <family val="2"/>
          </rPr>
          <t>Begründung für diesen Wert</t>
        </r>
        <r>
          <rPr>
            <sz val="9"/>
            <color indexed="81"/>
            <rFont val="Tahoma"/>
            <family val="2"/>
          </rPr>
          <t>:
- Dieses Geschäftsmodell (vergleichbar mit YouTube bzw. Twitch, nur erweitert auf Audio, Print, Internet, VR und erweitert um ganze Unternehmenstrukturen statt Einzel-Accounts) ist noch zu weit von der Realisierung entfernt (ab 2022), daher gehen wir aktuell von 0 Einnahmen aus.</t>
        </r>
      </text>
    </comment>
    <comment ref="C28" authorId="0">
      <text>
        <r>
          <rPr>
            <b/>
            <sz val="9"/>
            <color indexed="81"/>
            <rFont val="Tahoma"/>
            <family val="2"/>
          </rPr>
          <t>Michael Schöggl:</t>
        </r>
        <r>
          <rPr>
            <sz val="9"/>
            <color indexed="81"/>
            <rFont val="Tahoma"/>
            <family val="2"/>
          </rPr>
          <t xml:space="preserve">
</t>
        </r>
        <r>
          <rPr>
            <b/>
            <sz val="9"/>
            <color indexed="81"/>
            <rFont val="Tahoma"/>
            <family val="2"/>
          </rPr>
          <t>Um wieviel € pro Quartal wird sich der Anteil an den monatlichen Werbeeinnahmen durch usergenerierte Medien erhöhen?</t>
        </r>
        <r>
          <rPr>
            <sz val="9"/>
            <color indexed="81"/>
            <rFont val="Tahoma"/>
            <family val="2"/>
          </rPr>
          <t xml:space="preserve">
</t>
        </r>
        <r>
          <rPr>
            <u/>
            <sz val="9"/>
            <color indexed="81"/>
            <rFont val="Tahoma"/>
            <family val="2"/>
          </rPr>
          <t>Begründung für diesen Wert</t>
        </r>
        <r>
          <rPr>
            <sz val="9"/>
            <color indexed="81"/>
            <rFont val="Tahoma"/>
            <family val="2"/>
          </rPr>
          <t>:
- Dieses Geschäftsmodell (vergleichbar mit YouTube bzw. Twitch, nur erweitert auf Audio, Print, Internet, VR und erweitert um ganze Unternehmenstrukturen statt Einzel-Accounts) ist noch zu weit von der Realisierung entfernt (ab 2022), daher gehen wir aktuell von 0 Einnahmen aus.</t>
        </r>
      </text>
    </comment>
    <comment ref="A29" authorId="0">
      <text>
        <r>
          <rPr>
            <b/>
            <sz val="9"/>
            <color indexed="81"/>
            <rFont val="Tahoma"/>
            <family val="2"/>
          </rPr>
          <t>Michael Schöggl:</t>
        </r>
        <r>
          <rPr>
            <sz val="9"/>
            <color indexed="81"/>
            <rFont val="Tahoma"/>
            <family val="2"/>
          </rPr>
          <t xml:space="preserve">
- Wir haben die Möglichkeit, z.B. Product Placement Partnern anzubieten, dass diese für eine einmalige Pauschale für einen gewissen Zeitraum oder eine konkret festgelegte Werbeleistung ihre Product Placement Werbung kostenlos erhalten. 
- Für die Unternehmen würde sich das eventuell lohnen, weil sie so - durch ihren Vertrauensvorschuss in unsere Leistung - ein deutlich günstigeres, besseres Angebot erhalten könnten, als andere Partner. 
- Für uns würden diese höheren Einnahmen die Basis für mehr Werbekapital und dadurch mehr Wachstum bieten und sich insofern auch lohnen, auch wenn wir langfristig rein durch die Product Placement Gebühr weniger einnehmen sollten. Sobald wir genügend User haben, dass das Vertrauen in unsere Plattform vorhanden ist, wäre dieser Zugang eine gute Lösung um schnell Einnahmen zu generieren, wenn dies aus irgendwelchen Gründen Sinn macht bzw. wir schnell Kapital benötigen. 
- Diese Zeile gilt auch für Einnahmen durch einmalige Werbeaktionen (z.B. Flyer am virtuellen Schreibtisch, Spiderman schwingt durch die virtuelle Stadt und klatscht gegen das Fenster, Trailer von Filmen am virtuellen Fernseher anzeigen, etc.).
- Wir haben hier keinen Wert eingesetzt, beim Eintragen eines Wertes bitte beachten, dass dieser ausnahmsweise für das gesamte Quartal und nicht für jeden Monat gilt. </t>
        </r>
      </text>
    </comment>
    <comment ref="B29" authorId="0">
      <text>
        <r>
          <rPr>
            <b/>
            <sz val="9"/>
            <color indexed="81"/>
            <rFont val="Tahoma"/>
            <family val="2"/>
          </rPr>
          <t xml:space="preserve">Michael Schöggl:
</t>
        </r>
        <r>
          <rPr>
            <sz val="9"/>
            <color indexed="81"/>
            <rFont val="Tahoma"/>
            <family val="2"/>
          </rPr>
          <t xml:space="preserve">
Bitte die einmaligen Einnahmen durch Partner nur jeweils in der entsprechenden Spalte für die Schätzwerte des jeweiligen Quartals eintragen. Der eingetragene Wert gilt dann für das gesamte Quartal und nicht monatlich.</t>
        </r>
      </text>
    </comment>
    <comment ref="D29" authorId="0">
      <text>
        <r>
          <rPr>
            <b/>
            <sz val="9"/>
            <color indexed="81"/>
            <rFont val="Tahoma"/>
            <family val="2"/>
          </rPr>
          <t xml:space="preserve">Michael Schöggl:
</t>
        </r>
        <r>
          <rPr>
            <sz val="9"/>
            <color indexed="81"/>
            <rFont val="Tahoma"/>
            <family val="2"/>
          </rPr>
          <t xml:space="preserve">
Bitte die einmaligen Einnahmen durch Partner nur jeweils in der entsprechenden Spalte für die Schätzwerte des jeweiligen Quartals eintragen. Der eingetragene Wert gilt dann für das gesamte Quartal und nicht monatlich.</t>
        </r>
      </text>
    </comment>
    <comment ref="A30" authorId="0">
      <text>
        <r>
          <rPr>
            <b/>
            <sz val="9"/>
            <color indexed="81"/>
            <rFont val="Tahoma"/>
            <family val="2"/>
          </rPr>
          <t>Michael Schöggl:</t>
        </r>
        <r>
          <rPr>
            <sz val="9"/>
            <color indexed="81"/>
            <rFont val="Tahoma"/>
            <family val="2"/>
          </rPr>
          <t xml:space="preserve">
Achtung: Bei den Schätzwerten wurden hier die Summen der jeweiligen </t>
        </r>
        <r>
          <rPr>
            <u/>
            <sz val="9"/>
            <color indexed="81"/>
            <rFont val="Tahoma"/>
            <family val="2"/>
          </rPr>
          <t>Quartale</t>
        </r>
        <r>
          <rPr>
            <sz val="9"/>
            <color indexed="81"/>
            <rFont val="Tahoma"/>
            <family val="2"/>
          </rPr>
          <t xml:space="preserve"> angegeben, auch wenn in den Zeilen darüber die Werte pro Monat stehen!
Allgemein gilt: Die Summenwerte mit dunklerem Hintergrund beziehen sich auf die Quartale, die Werte auf hellerem Hintergrund auf die Monate.</t>
        </r>
      </text>
    </comment>
    <comment ref="A32" authorId="0">
      <text>
        <r>
          <rPr>
            <b/>
            <sz val="9"/>
            <color indexed="81"/>
            <rFont val="Tahoma"/>
            <family val="2"/>
          </rPr>
          <t>Michael Schöggl:</t>
        </r>
        <r>
          <rPr>
            <sz val="9"/>
            <color indexed="81"/>
            <rFont val="Tahoma"/>
            <family val="2"/>
          </rPr>
          <t xml:space="preserve">
- Die Schätzung der Kosten ist in manchen Bereichen vermutlich deutlich zu hoch, aber das soll uns einen Sicherheitsspielraum in der Prognose gegeben und nicht so missverstanden werden, dass wir nicht sparsam wirtschaften wollen. 
- Je nach Erfolg (primär gemessen durch die Unterschiede zwischen Realität und Prognose) werden wir bei einer schlechten Entwicklung bei den Ausgaben größere Einsparungen vornehmen, schließlich haben wir beinahe nur Personalkosten, bzw. allgemein sehr flexible Kosten, die mit dem Personal zusammenhängen. 
- Im Worst Case Szenario könnten wir mit weniger als 10.000 € pro Monat "überleben" und die Zeit mit der eigenen, kaum bezahlten Arbeit ausharren, bis unsere Userzahlen und damit auch die Einnahmen entsprechend ansteigen. Wirklich notwendig sind nur die Kosten für einen Software-Entwickler, die Server-Kosten (rund 300 € pro Monat) und die Lebenserhaltungskosten für den Geschäftsführer.
- Im positiven Fall hingegen könnten wir die Ausgaben so stark durch neue Personalkosten anheben, dass wir knapp keine Gewinne machen, damit Steuern sparen und unseren Konkurrenzvorsprung noch stärker ausbauen. Wenn sich abzeichnet, dass jeder neue User deutlich mehr Geld einbringt, als er kostet, wird es vermutlich Sinn machen, auf frühe Gewinne zu verzichten, um weitere Geschäftsmodelle früher aufzubauen, den Markt zu erobern und den Abstand zur Konkurrenz zu vergrößern. Mit mehr Ausgaben können auch mehr In-App-Inhalte geschaffen, oder durch (mehr) Sales-Mitarbeiter mehr Partner oder Medien akquiriert werden, was sehr rasch deutlich mehr bringen würde, als es gekostet hat. 
- Daher - sowohl was positive, als auch negative Entwicklungen betrifft - sind die Ausgaben pro Monat nur als grober Richtwert zu verstehen. Eine Umsatzprognose soll nur eine Hilfestellung sein, aber nicht davon abhalten, je nach Bedarf und Entwicklung flexibel auf die Situation eingehen zu können, um die bestmöglichen Ergebnisse zu erzielen. Durch die einfache Anpassbarkeit der Werte in diesem Spritesheet lassen sich sehr einfach verschiedene Szenarien durchspielen, sobald wir mehr konkrete, reale Werte gemessen haben. Gerade auch was Werbeausgaben betrifft (siehe 3.13 und 3.14) hängt die beste Strategie eindeutig davon ab, wie viel uns jeder neue User kostet (3.12) und wieviel Einnahmen wir mit ihm generieren. Ein schneller Start kann von unvergleichlicher Bedeutung für den Erfolg des Unternehmens sein.</t>
        </r>
      </text>
    </comment>
    <comment ref="A33" authorId="0">
      <text>
        <r>
          <rPr>
            <b/>
            <sz val="9"/>
            <color indexed="81"/>
            <rFont val="Tahoma"/>
            <family val="2"/>
          </rPr>
          <t xml:space="preserve">Michael Schöggl:
</t>
        </r>
        <r>
          <rPr>
            <sz val="9"/>
            <color indexed="81"/>
            <rFont val="Tahoma"/>
            <family val="2"/>
          </rPr>
          <t xml:space="preserve">
- Die Anlageinvestitionen (Büroeinrichtung, EDV, etc.) wurden mit 4%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3" authorId="0">
      <text>
        <r>
          <rPr>
            <b/>
            <sz val="9"/>
            <color indexed="81"/>
            <rFont val="Tahoma"/>
            <family val="2"/>
          </rPr>
          <t xml:space="preserve">Michael Schöggl:
</t>
        </r>
        <r>
          <rPr>
            <sz val="9"/>
            <color indexed="81"/>
            <rFont val="Tahoma"/>
            <family val="2"/>
          </rPr>
          <t xml:space="preserve">
</t>
        </r>
        <r>
          <rPr>
            <b/>
            <sz val="9"/>
            <color indexed="81"/>
            <rFont val="Tahoma"/>
            <family val="2"/>
          </rPr>
          <t>Wie hoch sind die monatlichen Mindestkosten für Anlageinvestitionen?</t>
        </r>
        <r>
          <rPr>
            <sz val="9"/>
            <color indexed="81"/>
            <rFont val="Tahoma"/>
            <family val="2"/>
          </rPr>
          <t xml:space="preserve">
</t>
        </r>
        <r>
          <rPr>
            <u/>
            <sz val="9"/>
            <color indexed="81"/>
            <rFont val="Tahoma"/>
            <family val="2"/>
          </rPr>
          <t>Begründung für diesen Wert</t>
        </r>
        <r>
          <rPr>
            <sz val="9"/>
            <color indexed="81"/>
            <rFont val="Tahoma"/>
            <family val="2"/>
          </rPr>
          <t>:
- Hier haben wir keinen Wert eingetragen, bisher haben sich 3-4% der Personalkosten sehr gut bewehrt. Die Kosten pro Mitarbeiter für einen Arbeitsplatz lagen bei günstigen 1500 €, diese Kosten würden zwar steigen, aber gleichzeitig auch die Gehälter, weshalb sich das wieder ausgleicht. 
Längerfristig wird es bei Erfolg natürlich Sinn machen, ein eigenes Büro zu bauen/kaufen, diese Kosten sind hier nicht berücksichtigt, u.a. auch, weil es dabei um Abschreibposten mit einem bleibenden Verkaufswert handeln würde, die am Ende auch nicht (viel) teurer kommen, als Miete. 
Die Kosten in den Spalten rechts sind monatlich, auf ein Jahr gerechnet werden sie realistisch.</t>
        </r>
      </text>
    </comment>
    <comment ref="C33" authorId="0">
      <text>
        <r>
          <rPr>
            <b/>
            <sz val="9"/>
            <color indexed="81"/>
            <rFont val="Tahoma"/>
            <family val="2"/>
          </rPr>
          <t>Michael Schöggl:</t>
        </r>
        <r>
          <rPr>
            <sz val="9"/>
            <color indexed="81"/>
            <rFont val="Tahoma"/>
            <family val="2"/>
          </rPr>
          <t xml:space="preserve">
</t>
        </r>
        <r>
          <rPr>
            <b/>
            <sz val="9"/>
            <color indexed="81"/>
            <rFont val="Tahoma"/>
            <family val="2"/>
          </rPr>
          <t>Wieviel Prozent der Personalkosten sind für Anlageinvestitionen geplant?</t>
        </r>
        <r>
          <rPr>
            <sz val="9"/>
            <color indexed="81"/>
            <rFont val="Tahoma"/>
            <family val="2"/>
          </rPr>
          <t xml:space="preserve">
</t>
        </r>
        <r>
          <rPr>
            <u/>
            <sz val="9"/>
            <color indexed="81"/>
            <rFont val="Tahoma"/>
            <family val="2"/>
          </rPr>
          <t>Begründung für diesen Wert</t>
        </r>
        <r>
          <rPr>
            <sz val="9"/>
            <color indexed="81"/>
            <rFont val="Tahoma"/>
            <family val="2"/>
          </rPr>
          <t>:
- Aufgrund bisherigen Erfahrungswerte gehen wir von rund 4 % der Personalkosten für Anlageinvestitionen aus (ca. 1500 € bisher pro Arbeitsplatz für Möbel, PC, Monitor, etc.).
- Wenn connect erfolgreich genug ist, wird es irgendwann Sinn machen, ein eigenes Büro zu kaufen oder zu bauen. Aber dann müssten die entsprechenden Werte händisch rechts eingetragen werden, sofern sie nicht als Abschreibung innerhalb der x % pro Personalkosten bleiben.</t>
        </r>
      </text>
    </comment>
    <comment ref="A34" authorId="0">
      <text>
        <r>
          <rPr>
            <b/>
            <sz val="9"/>
            <color indexed="81"/>
            <rFont val="Tahoma"/>
            <family val="2"/>
          </rPr>
          <t>Michael Schöggl:</t>
        </r>
        <r>
          <rPr>
            <sz val="9"/>
            <color indexed="81"/>
            <rFont val="Tahoma"/>
            <family val="2"/>
          </rPr>
          <t xml:space="preserve">
Die Personal- und Outsourcingkosten sind absolut flexibel. Wir könnten auch mit einem Team aus 1,5 Mitarbeitern (1 Senior Developer und 1 Teilzeit-Grafiker) unsere App instandhalten und langsam weiterentwickeln (Kosten: ca. 8.000 € monatlich).
Natürlich macht es aber Sinn, bei positiver wirtschaftlicher Entwicklung das Tempo voranzutreiben, vor allem, wenn jeder neue Mitarbeiter mehr Geld einbringt, als er an Kosten verursacht (z.B. Sales-Mitarbeiter, die lukrative B2B-Partner gewinnen). 
Die hier veranschlagten Personal- und Outsourcing-Kosten richten sich im 1. und 2. Quartal 2020 daran, dass sich connect wie geplant bis Mitte 2020 fertigstellen lässt (rund 30.000 € pro Monat). 
Ab Quartal 3 2020 könnten die Personal- und Outsourcingkosten (bei Bedarf) wieder reduziert werden, bei positiver Entwicklung jedoch würden wir sie konstant um x Prozent der Einnahmen anheben, um unseren Wettbewerbsvorteil zu verteidigen und connect rasch zu verbessern.
Mehr Einnahmen bedeuten in unserem Fall zudem mehr User bzw. B2B-Partner und insofern auch höhere Personal-Kosten für z.B. Support oder Sales. Wir wollen zwar möglichst alle Prozesse automatisieren, aber es macht natürlich Sinn, trotzdem mehr Geld in die Entwicklung zu stecken, wenn der wirtschaftliche Erfolg erkennbar wird. Darum wurden in der Prognose die Personalkosten ab 2021 auch direkt von den Einnahmen abhängig gemacht.</t>
        </r>
      </text>
    </comment>
    <comment ref="B34" authorId="0">
      <text>
        <r>
          <rPr>
            <b/>
            <sz val="9"/>
            <color indexed="81"/>
            <rFont val="Tahoma"/>
            <family val="2"/>
          </rPr>
          <t>Michael Schöggl:</t>
        </r>
        <r>
          <rPr>
            <sz val="9"/>
            <color indexed="81"/>
            <rFont val="Tahoma"/>
            <family val="2"/>
          </rPr>
          <t xml:space="preserve">
</t>
        </r>
        <r>
          <rPr>
            <b/>
            <sz val="9"/>
            <color indexed="81"/>
            <rFont val="Tahoma"/>
            <family val="2"/>
          </rPr>
          <t xml:space="preserve">Um wieviel Prozent der Einnahmen steigen die Personalkosten gegenüber dem Vormonat? 
</t>
        </r>
        <r>
          <rPr>
            <u/>
            <sz val="9"/>
            <color indexed="81"/>
            <rFont val="Tahoma"/>
            <family val="2"/>
          </rPr>
          <t>Begründung für diesen Wert</t>
        </r>
        <r>
          <rPr>
            <sz val="9"/>
            <color indexed="81"/>
            <rFont val="Tahoma"/>
            <family val="2"/>
          </rPr>
          <t>:
- connect könnte mit gleichbleibenden 20.000 € pro Monat an Personalkosten (oder sogar weniger) weiterentwickelt werden. Wir sind bezüglich Personalkosten äußerst flexibel. Selbst sehr erfolgreiche Apps wie WhatsApp hatten jahrelang nur eine Handvoll Mitarbeiter.
- Weil wir aber im Gegensatz zu z.B. WhatsApp sehr schnell Einnahmen haben werden, unseren Wettbewerbsvorteil verteidigen müssen und connect kontinuierlich weiterentwickeln wollen, rechnen wir mit 10% aller Einnahmen an zusätzlichen Personalkosten. Dieser Werte kann beliebig angepasst werden, je nachdem, wie rasch wir connect weiterentwickeln wollen. Zur Leistung unserer Angestellten kommen noch die Leistungen unserer Outsourcing-Partner (siehe 3.11) dazu. 
- Die Berechnung der Personalkosten prozentual zu den Einnahmen erlaubt uns finanzielle Entscheidungen ohne großes Risiko. 
- Auch die Werbekosten und die Outsourcing-Kosten werden prozentual gerechnet, ebenso indirekt Anlageinvestitionen, Material und Betriebsausgaben. Die prozentualen Ausgaben sollen dauerhaft unter den Einnahmen bleiben. Bei den Einnahmen erwarten wir (bis auf übliche jahreszeitabhängige Schwankungen) wenig Fluktuationen bzw. Überraschungen, weil sich durch die Masse der User Zufallseffekte weitestgehend "raus-mitteln". Übrig bleiben primär systematische Fehler, wenn wir es z.B. verabsäumen, neue, attraktive In-App-Käufe nachzuliefern und diese Wahrnehmung von den meisten Usern gleichermaßen geteilt wird.</t>
        </r>
      </text>
    </comment>
    <comment ref="C34" authorId="0">
      <text>
        <r>
          <rPr>
            <b/>
            <sz val="9"/>
            <color indexed="81"/>
            <rFont val="Tahoma"/>
            <family val="2"/>
          </rPr>
          <t>Michael Schöggl:</t>
        </r>
        <r>
          <rPr>
            <sz val="9"/>
            <color indexed="81"/>
            <rFont val="Tahoma"/>
            <family val="2"/>
          </rPr>
          <t xml:space="preserve">
</t>
        </r>
        <r>
          <rPr>
            <b/>
            <sz val="9"/>
            <color indexed="81"/>
            <rFont val="Tahoma"/>
            <family val="2"/>
          </rPr>
          <t xml:space="preserve">Um wieviel Prozent pro Quartal werden die prozentualen Personalsausgaben reduziert? </t>
        </r>
        <r>
          <rPr>
            <sz val="9"/>
            <color indexed="81"/>
            <rFont val="Tahoma"/>
            <family val="2"/>
          </rPr>
          <t xml:space="preserve">
</t>
        </r>
        <r>
          <rPr>
            <u/>
            <sz val="9"/>
            <color indexed="81"/>
            <rFont val="Tahoma"/>
            <family val="2"/>
          </rPr>
          <t>Begründung für diesen Wert</t>
        </r>
        <r>
          <rPr>
            <sz val="9"/>
            <color indexed="81"/>
            <rFont val="Tahoma"/>
            <family val="2"/>
          </rPr>
          <t>:
- Wenn sich connect gut entwickelt, ist es unrealistisch, dass unsere Personalausgaben dauerhaft an x % der Einnahmen angepasst werden. Unsere Ausnahmen müssen/sollen nicht direkt proportional zu den Einnahmen mitsteigen, weil die Entwicklungskosten nicht automatisch höher werden, nur, weil mehr User unsere Entwicklung verwenden. 
- Im Gegensatz zu Facebook und Co wollen wir beim Personal eher klein bleiben und a.) möglichst viel automatisieren, b.) Funktionen, die hohe Kosten durch z.B. Support benötigen, gar nicht erst anbieten, sondern diese c.) unseren Partnern überlassen. 
- Neue Inhalte sollen langfristig primär von unseren Partnern kommen, während wir mit Provision daran mitverdienen. Wir kümmern uns vorrangig um die "Schnittstelle", bzw. die Basisfunktionen, die weniger kosteneffizienten Entwicklungen (wie z.B. aufwendige Inhalte, die nur einmal schnell "durchgespielt" werden), überlassen wir unseren Partnern. 
- Je besser unser Netzwerk ist (Fokus liegt darauf!), umso mehr Partner-Inhalte bekommen wir - und wenn wir das gut machen, besser, als die Konkurrenz, dann wachsen unsere Inhalte durch Partner schneller, als wenn wir sie selbst entwickeln würden. 
- Dieser Zugang ist kostensparend, darum ist davon auszugehen, dass die prozentualen Ausgaben von unseren Einnahmen für das Personal im Laufe der Quartale um den Faktor x sinken werden. Der Großteil des Personals wird wohl aus Evangelisten, Sales- und Service-Mitarbeitern bestehen, aber auch hier wollen wir durch ChatBots, KI, etc. so viel wie möglich automatisieren.</t>
        </r>
      </text>
    </comment>
    <comment ref="A35" authorId="0">
      <text>
        <r>
          <rPr>
            <b/>
            <sz val="9"/>
            <color indexed="81"/>
            <rFont val="Tahoma"/>
            <family val="2"/>
          </rPr>
          <t xml:space="preserve">Michael Schöggl:
</t>
        </r>
        <r>
          <rPr>
            <sz val="9"/>
            <color indexed="81"/>
            <rFont val="Tahoma"/>
            <family val="2"/>
          </rPr>
          <t xml:space="preserve">
- Die Kosten für Material und Waren (z.B. Druckerpapier, Instandhaltung, Büroartikel, etc.) wurden mit 1%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5" authorId="0">
      <text>
        <r>
          <rPr>
            <b/>
            <sz val="9"/>
            <color indexed="81"/>
            <rFont val="Tahoma"/>
            <family val="2"/>
          </rPr>
          <t>Michael Schöggl:</t>
        </r>
        <r>
          <rPr>
            <sz val="9"/>
            <color indexed="81"/>
            <rFont val="Tahoma"/>
            <family val="2"/>
          </rPr>
          <t xml:space="preserve">
</t>
        </r>
        <r>
          <rPr>
            <b/>
            <sz val="9"/>
            <color indexed="81"/>
            <rFont val="Tahoma"/>
            <family val="2"/>
          </rPr>
          <t xml:space="preserve">
Wieviel € pro Monat haben wir an Fixkosten für Material und Waren, unabhängig von der Größe des Teams?</t>
        </r>
        <r>
          <rPr>
            <sz val="9"/>
            <color indexed="81"/>
            <rFont val="Tahoma"/>
            <family val="2"/>
          </rPr>
          <t xml:space="preserve">
</t>
        </r>
        <r>
          <rPr>
            <u/>
            <sz val="9"/>
            <color indexed="81"/>
            <rFont val="Tahoma"/>
            <family val="2"/>
          </rPr>
          <t xml:space="preserve">
Begründung für diesen Wert</t>
        </r>
        <r>
          <rPr>
            <sz val="9"/>
            <color indexed="81"/>
            <rFont val="Tahoma"/>
            <family val="2"/>
          </rPr>
          <t>:
- Wir berechnen die Kosten für Material und Waren (z.B. Bürobedarf) nur relativ zum Personal, da dies einfacher ist und es keine (relevanten) Fixkosten gibt. Allgemein sind diese Werte alle viel zu niedrig, alsdass sich eine nähere Betrachtung lohnen würde.</t>
        </r>
      </text>
    </comment>
    <comment ref="C35" authorId="0">
      <text>
        <r>
          <rPr>
            <b/>
            <sz val="9"/>
            <color indexed="81"/>
            <rFont val="Tahoma"/>
            <family val="2"/>
          </rPr>
          <t>Michael Schöggl:</t>
        </r>
        <r>
          <rPr>
            <sz val="9"/>
            <color indexed="81"/>
            <rFont val="Tahoma"/>
            <family val="2"/>
          </rPr>
          <t xml:space="preserve">
</t>
        </r>
        <r>
          <rPr>
            <b/>
            <sz val="9"/>
            <color indexed="81"/>
            <rFont val="Tahoma"/>
            <family val="2"/>
          </rPr>
          <t>Wieviel Prozent der Personalkosten werden pro Monat für Material und Waren benötigt?</t>
        </r>
        <r>
          <rPr>
            <sz val="9"/>
            <color indexed="81"/>
            <rFont val="Tahoma"/>
            <family val="2"/>
          </rPr>
          <t xml:space="preserve">
</t>
        </r>
        <r>
          <rPr>
            <u/>
            <sz val="9"/>
            <color indexed="81"/>
            <rFont val="Tahoma"/>
            <family val="2"/>
          </rPr>
          <t>Begründung für diesen Wert</t>
        </r>
        <r>
          <rPr>
            <sz val="9"/>
            <color indexed="81"/>
            <rFont val="Tahoma"/>
            <family val="2"/>
          </rPr>
          <t>:
Aufgrund bisherigen Erfahrungswerte gehen wir von rund 1 % der Personalkosten für Büromaterial und kleinere Ausgaben (z.B. Papier, Post, Reinigungsmittel, etc.) aus.</t>
        </r>
      </text>
    </comment>
    <comment ref="A36" authorId="0">
      <text>
        <r>
          <rPr>
            <b/>
            <sz val="9"/>
            <color indexed="81"/>
            <rFont val="Tahoma"/>
            <family val="2"/>
          </rPr>
          <t xml:space="preserve">Michael Schöggl:
</t>
        </r>
        <r>
          <rPr>
            <sz val="9"/>
            <color indexed="81"/>
            <rFont val="Tahoma"/>
            <family val="2"/>
          </rPr>
          <t xml:space="preserve">
- Die Betriebsausgaben (Miete, Strom, Internet, etc.) wurden mit 6%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6" authorId="0">
      <text>
        <r>
          <rPr>
            <b/>
            <sz val="9"/>
            <color indexed="81"/>
            <rFont val="Tahoma"/>
            <family val="2"/>
          </rPr>
          <t>Michael Schöggl:</t>
        </r>
        <r>
          <rPr>
            <sz val="9"/>
            <color indexed="81"/>
            <rFont val="Tahoma"/>
            <family val="2"/>
          </rPr>
          <t xml:space="preserve">
</t>
        </r>
        <r>
          <rPr>
            <b/>
            <sz val="9"/>
            <color indexed="81"/>
            <rFont val="Tahoma"/>
            <family val="2"/>
          </rPr>
          <t>Wieviel € pro Monat haben wir an Fixkosten für Betriebsausgaben, unabhängig von der Größe des Teams?</t>
        </r>
        <r>
          <rPr>
            <sz val="9"/>
            <color indexed="81"/>
            <rFont val="Tahoma"/>
            <family val="2"/>
          </rPr>
          <t xml:space="preserve">
</t>
        </r>
        <r>
          <rPr>
            <u/>
            <sz val="9"/>
            <color indexed="81"/>
            <rFont val="Tahoma"/>
            <family val="2"/>
          </rPr>
          <t>Begründung für diesen Wert</t>
        </r>
        <r>
          <rPr>
            <sz val="9"/>
            <color indexed="81"/>
            <rFont val="Tahoma"/>
            <family val="2"/>
          </rPr>
          <t xml:space="preserve">:
- Im Moment haben wir aufgerundet ca. 1500 € an Betriebskosten, die wir nicht sofort reduzieren können, sondern erst nach Kündigung (z.B. für Miete, Strom, Internet, Lizenzen und ähnliches). Diese Fixkosten würden sich auch nihilieren lassen, aber es würde bis zu 3 Monate dauern. </t>
        </r>
      </text>
    </comment>
    <comment ref="C36" authorId="0">
      <text>
        <r>
          <rPr>
            <b/>
            <sz val="9"/>
            <color indexed="81"/>
            <rFont val="Tahoma"/>
            <family val="2"/>
          </rPr>
          <t xml:space="preserve">Michael Schöggl:
Wieviel Prozent der Personalkosten werden pro Monat für Betriebsausgaben benötigt?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Aufgrund bisherigen Erfahrungswerte gehen wir von rund 6% der Personalkosten für Betriebsausgaben wie z.B. Miete, Strom, Internet, Lizenzen etc. aus.
- So wie die meisten anderen Kosten ist dieser Wert tendenziell zu hoch eingeschätzt, um bei der Prognose genügend Platz für unbedachte Kosten offen zu halten. 4% wären im sparsamen Fall ebenso realistisch möglich (z.B. Team aus 10 Leuten mit 50.000 € monatlichen Personalkosten in einem Büro zu 1000 € mit 1000 € an weiteren Betriebskosten für Strom, Internet, etc. = 4%).</t>
        </r>
      </text>
    </comment>
    <comment ref="A37" authorId="0">
      <text>
        <r>
          <rPr>
            <b/>
            <sz val="9"/>
            <color indexed="81"/>
            <rFont val="Tahoma"/>
            <family val="2"/>
          </rPr>
          <t>Michael Schöggl:</t>
        </r>
        <r>
          <rPr>
            <sz val="9"/>
            <color indexed="81"/>
            <rFont val="Tahoma"/>
            <family val="2"/>
          </rPr>
          <t xml:space="preserve">
- Für In-App-Einkäufe über den Google Play Store und ab Mitte 2020 auch über den App Store (Apple) fallen Transaktionsgebühren an.
- Diese Gebühren beinhalten bereits alle Nebenkosten, die durch Bankspesen, Zahlungsverkehr etc. entstehen. 
- Zu Beginn macht es Sinn, Einkäufe über den App-Store abzuwickeln, selbst wenn die Gebühren höher sind, als ein eigener Zugang (z.B. der Kauf von Punkten auf der Homepage, die dann in der App eingelöst werden können). 
- Warum? Weil deutlich mehr Menschen einkaufen werden, wenn der Einkauf ganz einfach und gewohnt über den App-Store abgewickelt wird, wo die Bezahlmethode bereits hinterlegt ist, als über unsere eigene Lösung. Eine höhere Zahlbereitschaft wird wichtiger sein, als das Sparen von Gebühren. 
- Zudem unterstützen die App-Stores eine Vielzahl verschiedener Zahlmöglichkeiten, diese alle mit z.B. Wirecard einzurichten, würde bei einer zunächst kleinen Summe an Transaktionen mehr kosten, als bringen. Die Kosten pro Transaktion nehmen erst ab einer großen Anzahl an monatlichen Einkäufen so stark ab, dass es sich lohnen könnte, ein eigenes Bezahlsystem anzubieten. 
- Langfristig haben wir aber natürlich genau das vor, weil wir uns sehr viele Kosten sparen könnten, wenn unsere Kosten pro Transaktion von 30% auf z.B. 15% fallen. Mehr dazu in den Kommentaren rechts.</t>
        </r>
      </text>
    </comment>
    <comment ref="B37" authorId="0">
      <text>
        <r>
          <rPr>
            <b/>
            <sz val="9"/>
            <color indexed="81"/>
            <rFont val="Tahoma"/>
            <family val="2"/>
          </rPr>
          <t xml:space="preserve">Michael Schöggl:
Wieviel Prozent sämtlicher Einnahmen über den App Store fallen an Gebühren an?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Transaktionsgebühren für In-App-Verkäufe im Google Play Store (30%). Die Gebühren für abgeschlossene Abos betragen 15%. Andere Stores wie z.B. Apple, Steam oder PlayStation sind günstiger, aber wir rechnen hier sicherheitshalber mit den höchsten Werten (abzüglich einer optional einstellbaren Verbesserung pro Quartal in der Spalte rechts). </t>
        </r>
      </text>
    </comment>
    <comment ref="C37" authorId="0">
      <text>
        <r>
          <rPr>
            <b/>
            <sz val="9"/>
            <color indexed="81"/>
            <rFont val="Tahoma"/>
            <family val="2"/>
          </rPr>
          <t xml:space="preserve">Michael Schöggl:
</t>
        </r>
        <r>
          <rPr>
            <b/>
            <sz val="9"/>
            <color indexed="81"/>
            <rFont val="Tahoma"/>
            <family val="2"/>
          </rPr>
          <t xml:space="preserve">
Um wieviel Prozent pro Quartal lassen sich die Transaktionsgebühren senken?</t>
        </r>
        <r>
          <rPr>
            <sz val="9"/>
            <color indexed="81"/>
            <rFont val="Tahoma"/>
            <family val="2"/>
          </rPr>
          <t xml:space="preserve">
</t>
        </r>
        <r>
          <rPr>
            <u/>
            <sz val="9"/>
            <color indexed="81"/>
            <rFont val="Tahoma"/>
            <family val="2"/>
          </rPr>
          <t>Begründung für diesen Wert</t>
        </r>
        <r>
          <rPr>
            <sz val="9"/>
            <color indexed="81"/>
            <rFont val="Tahoma"/>
            <family val="2"/>
          </rPr>
          <t>:
Wir gehen davon aus, die Transaktionsgebühren im Laufe der nächsten 3 Jahre von maximal 30% (= alle Einkäufe werden über den Play Store getätigt) auf rund 16,5% senken zu können, da ...
1.) ... wir auch alternative Bezahlungsmöglichkeiten anbieten wollen, z.B. über den Erwerb von Punkten auf unserer Homepage, die uns deutlich günstiger kommen.
2.) ... der Play Store zu den teuersten Stores gehört, connect aber nicht nur für Android erscheint, sondern auch PlayStation, Steam etc.
3.) ... die Store-Preise allgemein etwas fallen werden.
4.) ... wir uns hier gewaltige Kosten sparen können und daher sehr motiviert sein werden, Alternativen anzubieten.</t>
        </r>
      </text>
    </comment>
    <comment ref="A38" authorId="0">
      <text>
        <r>
          <rPr>
            <b/>
            <sz val="9"/>
            <color indexed="81"/>
            <rFont val="Tahoma"/>
            <family val="2"/>
          </rPr>
          <t>Michael Schöggl:</t>
        </r>
        <r>
          <rPr>
            <sz val="9"/>
            <color indexed="81"/>
            <rFont val="Tahoma"/>
            <family val="2"/>
          </rPr>
          <t xml:space="preserve">
Mit Ende 2019 betragen die Zinsen pro Monat ca. 3000 Euro, beim Beginn der Rückzahlung ist unsere Hausbank flexibel, wir rechnen aber ab Ende 2020 mit einer Laufzeit von 10 Jahren.
Auch wenn bei guter wirtschaftlicher Entwicklung der gesamte Kredit deutlich früher zurückgezahlt werden kann und wird, wird sicherheitshalber in dieser Prognose davon ausgegangen, dass die Rückzahlung im Verlauf von 10 Jahren erfolgt.</t>
        </r>
      </text>
    </comment>
    <comment ref="B38" authorId="0">
      <text>
        <r>
          <rPr>
            <b/>
            <sz val="9"/>
            <color indexed="81"/>
            <rFont val="Tahoma"/>
            <family val="2"/>
          </rPr>
          <t>Michael Schöggl:</t>
        </r>
        <r>
          <rPr>
            <sz val="9"/>
            <color indexed="81"/>
            <rFont val="Tahoma"/>
            <family val="2"/>
          </rPr>
          <t xml:space="preserve">
</t>
        </r>
        <r>
          <rPr>
            <b/>
            <sz val="9"/>
            <color indexed="81"/>
            <rFont val="Tahoma"/>
            <family val="2"/>
          </rPr>
          <t>Wieviel Zinsen bezahlen wir für laufende Kredite pro Monat?</t>
        </r>
        <r>
          <rPr>
            <sz val="9"/>
            <color indexed="81"/>
            <rFont val="Tahoma"/>
            <family val="2"/>
          </rPr>
          <t xml:space="preserve">
</t>
        </r>
        <r>
          <rPr>
            <u/>
            <sz val="9"/>
            <color indexed="81"/>
            <rFont val="Tahoma"/>
            <family val="2"/>
          </rPr>
          <t>Begründung für diesen Wert</t>
        </r>
        <r>
          <rPr>
            <sz val="9"/>
            <color indexed="81"/>
            <rFont val="Tahoma"/>
            <family val="2"/>
          </rPr>
          <t>:
- Erfahrungswerte: Die aktuellen Zinsen pro Monat betragen knapp 3000 €.</t>
        </r>
      </text>
    </comment>
    <comment ref="C38" authorId="0">
      <text>
        <r>
          <rPr>
            <b/>
            <sz val="9"/>
            <color indexed="81"/>
            <rFont val="Tahoma"/>
            <family val="2"/>
          </rPr>
          <t xml:space="preserve">Michael Schöggl:
Wieviel € pro Monat müssen für laufende Kredite ab 2021 zurückbezahlt werden?
</t>
        </r>
        <r>
          <rPr>
            <u/>
            <sz val="9"/>
            <color indexed="81"/>
            <rFont val="Tahoma"/>
            <family val="2"/>
          </rPr>
          <t>Begründung für diesen Wert</t>
        </r>
        <r>
          <rPr>
            <sz val="9"/>
            <color indexed="81"/>
            <rFont val="Tahoma"/>
            <family val="2"/>
          </rPr>
          <t>:
Über eine Laufzeit von 10 Jahren sollen ab 2021 die offenen Kredite (590.000 €) rückgezahlt werden.
Die erhaltenen Investitionen durch partiarische Darlehen werden über eine Gewinnbeteiligung ausgeschüttet, bis sie abbezahlt sind.</t>
        </r>
      </text>
    </comment>
    <comment ref="A39" authorId="0">
      <text>
        <r>
          <rPr>
            <b/>
            <sz val="9"/>
            <color indexed="81"/>
            <rFont val="Tahoma"/>
            <family val="2"/>
          </rPr>
          <t>Michael Schöggl:</t>
        </r>
        <r>
          <rPr>
            <sz val="9"/>
            <color indexed="81"/>
            <rFont val="Tahoma"/>
            <family val="2"/>
          </rPr>
          <t xml:space="preserve">
Alle Einnahmen wurden brutto mit Umsatzsteuer berechnet. D.h. die Einnahmenprognose ist um 20% vorsichtiger, als auf den ersten Blick angenommen, wenn Netto- statt Brutto-Beträge erwartet wurden.
Zwar besteht später die Möglichkeit, Steuervorteile zu nutzen (und der Steuersatz ist auch nicht in jedem Land so hoch, wie in Österreich), sicherheitshalber haben wir aber trotzdem mit 20% Umsatzsteuer auf alle Einnahmen gerechnet.</t>
        </r>
      </text>
    </comment>
    <comment ref="B39" authorId="0">
      <text>
        <r>
          <rPr>
            <b/>
            <sz val="9"/>
            <color indexed="81"/>
            <rFont val="Tahoma"/>
            <family val="2"/>
          </rPr>
          <t xml:space="preserve">Michael Schöggl:
Wieviel Prozent an Umsatzsteuer müssen für Einnahmen bezahlt werden?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Umsatzsteuer in Österreich, dieser Wert kann langfristig durch entsprechende Steuersparmaßnahmen deutlich reduziert werden.
- Die Umsatzsteuer in anderen Ländern ist in der Regel (deutlich) niedriger, aber unsere Prognose soll mit vorsichtigen Werten arbeiten.</t>
        </r>
      </text>
    </comment>
    <comment ref="C39"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Um wieviel Prozent pro Quartal sinkt die Umsatzsteuer durch steuersparende Maßnahmen?
</t>
        </r>
        <r>
          <rPr>
            <u/>
            <sz val="9"/>
            <color indexed="81"/>
            <rFont val="Tahoma"/>
            <family val="2"/>
          </rPr>
          <t>Begründung für diesen Wert</t>
        </r>
        <r>
          <rPr>
            <sz val="9"/>
            <color indexed="81"/>
            <rFont val="Tahoma"/>
            <family val="2"/>
          </rPr>
          <t xml:space="preserve">:
Wir nehmen hier 0 an, weil wir brave Steuerzahler sind, aber realistisch ist es nicht, dass wir dauerhaft 20% Umsatzsteuer zahlen würden, daher bei Bedarf hier bitte einen Minuswert eintragen - z.B. -1% (in 9 Schritten reduziert sich dann die Umsatzsteuer kontinuierlich von 20% auf 11%. 
</t>
        </r>
      </text>
    </comment>
    <comment ref="A40" authorId="0">
      <text>
        <r>
          <rPr>
            <b/>
            <sz val="9"/>
            <color indexed="81"/>
            <rFont val="Tahoma"/>
            <family val="2"/>
          </rPr>
          <t>Michael Schöggl:</t>
        </r>
        <r>
          <rPr>
            <sz val="9"/>
            <color indexed="81"/>
            <rFont val="Tahoma"/>
            <family val="2"/>
          </rPr>
          <t xml:space="preserve">
Der Gewinn wird so lange wie möglich reinvestiert, um keine Körperschaftsteuer (bzw. Einkommensteuer) zahlen zu müssen. 
Eigentlich rechnen bis Ende 2021 damit, die Einnahmen vollständig reinvestieren zu können und keine Gewinne zu machen. Bei der Prognose wurden aber einfach alle Gewinne mit 25% Körperschaftsteuer belegt.
Die Mindestkörperschaftssteuer beträgt bei einer GmbH rund 1750 € pro Jahr, kann aber später gegengerechnet werden, weshalb wir diesen Wert ignorieren (das ist kein Liquiditätsplan).
</t>
        </r>
      </text>
    </comment>
    <comment ref="B40" authorId="0">
      <text>
        <r>
          <rPr>
            <b/>
            <sz val="9"/>
            <color indexed="81"/>
            <rFont val="Tahoma"/>
            <family val="2"/>
          </rPr>
          <t>Michael Schöggl:
Wieviel Prozent des Gewinns müssen an Körperschaftsteuer abgezogen werden?</t>
        </r>
        <r>
          <rPr>
            <sz val="9"/>
            <color indexed="81"/>
            <rFont val="Tahoma"/>
            <family val="2"/>
          </rPr>
          <t xml:space="preserve">
</t>
        </r>
        <r>
          <rPr>
            <u/>
            <sz val="9"/>
            <color indexed="81"/>
            <rFont val="Tahoma"/>
            <family val="2"/>
          </rPr>
          <t>Begründung für diesen Wert</t>
        </r>
        <r>
          <rPr>
            <sz val="9"/>
            <color indexed="81"/>
            <rFont val="Tahoma"/>
            <family val="2"/>
          </rPr>
          <t>:
- Körperschaftsteuer in Österreich, dieser Wert kann langfristig durch entsprechende Steuersparmaßnahmen natürlich reduziert werden, zudem gibt es Beschlüsse der neuen Bundesregierung, die Körperschaftsteuer deutlich zu senken.
- Ebenso wie die Umsatzsteuer ist die Körperschaftsteuer in anderen Ländern auch niedriger, aber wir wollen vorsichtige Schätzwerte.</t>
        </r>
      </text>
    </comment>
    <comment ref="C40"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sinkt die Körperschaftsteuer durch steuersparende Maßnahmen?</t>
        </r>
        <r>
          <rPr>
            <sz val="9"/>
            <color indexed="81"/>
            <rFont val="Tahoma"/>
            <family val="2"/>
          </rPr>
          <t xml:space="preserve">
Wir nehmen hier 0 an, weil wir brave Steuerzahler sind, aber realistisch ist es nicht, dass wir dauerhaft 35 % Körperschaftsteuer zahlen würden (u.a. weil Gewinne reinvestiert werden, notfalls in andere Unternehmen oder Zukäufe), daher bei Bedarf hier bitte einen Minuswert eintragen - z.B. -1% (in 9 Schritten reduziert sich dann die Umsatzsteuer kontinuierlich von 20% auf 11%. </t>
        </r>
      </text>
    </comment>
    <comment ref="A41" authorId="0">
      <text>
        <r>
          <rPr>
            <b/>
            <sz val="9"/>
            <color indexed="81"/>
            <rFont val="Tahoma"/>
            <family val="2"/>
          </rPr>
          <t>Michael Schöggl:</t>
        </r>
        <r>
          <rPr>
            <sz val="9"/>
            <color indexed="81"/>
            <rFont val="Tahoma"/>
            <family val="2"/>
          </rPr>
          <t xml:space="preserve">
Meine geplanten Privatentnahmen (Abzug von der bereits geleisteten finanziellen Einbringung). Auch möglich wäre eine Anstellung zu eben diesen Kosten.</t>
        </r>
      </text>
    </comment>
    <comment ref="B41" authorId="0">
      <text>
        <r>
          <rPr>
            <b/>
            <sz val="9"/>
            <color indexed="81"/>
            <rFont val="Tahoma"/>
            <family val="2"/>
          </rPr>
          <t>Michael Schöggl:</t>
        </r>
        <r>
          <rPr>
            <sz val="9"/>
            <color indexed="81"/>
            <rFont val="Tahoma"/>
            <family val="2"/>
          </rPr>
          <t xml:space="preserve">
</t>
        </r>
        <r>
          <rPr>
            <b/>
            <sz val="9"/>
            <color indexed="81"/>
            <rFont val="Tahoma"/>
            <family val="2"/>
          </rPr>
          <t>Wieviel € pro Monat fallen an Kosten für das Geschäftsführergehalt oder die Privatentnahmen durch den Geschäftsführer an?</t>
        </r>
        <r>
          <rPr>
            <sz val="9"/>
            <color indexed="81"/>
            <rFont val="Tahoma"/>
            <family val="2"/>
          </rPr>
          <t xml:space="preserve">
</t>
        </r>
        <r>
          <rPr>
            <u/>
            <sz val="9"/>
            <color indexed="81"/>
            <rFont val="Tahoma"/>
            <family val="2"/>
          </rPr>
          <t xml:space="preserve">
Begründung für diesen Wert</t>
        </r>
        <r>
          <rPr>
            <sz val="9"/>
            <color indexed="81"/>
            <rFont val="Tahoma"/>
            <family val="2"/>
          </rPr>
          <t>:
- In der Praxis kann dieser Wert deutlich niedriger sein, da die Lebenserhaltungskosten nicht unbedingt 2.500 € pro Monat ausmachen, aber für eine vorsichtige Schätzung ist das ein guter Wert.</t>
        </r>
      </text>
    </comment>
    <comment ref="C41"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 pro Quartal steigt das Geschäftsführergehalt bzw. die Privatentnahme ab Erreichen der Gewinnzone?</t>
        </r>
        <r>
          <rPr>
            <sz val="9"/>
            <color indexed="81"/>
            <rFont val="Tahoma"/>
            <family val="2"/>
          </rPr>
          <t xml:space="preserve">
</t>
        </r>
        <r>
          <rPr>
            <u/>
            <sz val="9"/>
            <color indexed="81"/>
            <rFont val="Tahoma"/>
            <family val="2"/>
          </rPr>
          <t>Begründung für diesen Wert</t>
        </r>
        <r>
          <rPr>
            <sz val="9"/>
            <color indexed="81"/>
            <rFont val="Tahoma"/>
            <family val="2"/>
          </rPr>
          <t>:
- Es wäre unglaubwürdig, hier unabhängig vom Erfolg des Unternehmens von gleichbleibenden Kosten auszugehen. 
- Zudem wäre eine repräsentative Vertretung nach Außen hin mit 2500 € eingeschränkter möglich, als mit eine angebrachten Gehalt.</t>
        </r>
      </text>
    </comment>
    <comment ref="A42" authorId="0">
      <text>
        <r>
          <rPr>
            <b/>
            <sz val="9"/>
            <color indexed="81"/>
            <rFont val="Tahoma"/>
            <family val="2"/>
          </rPr>
          <t xml:space="preserve">Michael Schöggl:
</t>
        </r>
        <r>
          <rPr>
            <sz val="9"/>
            <color indexed="81"/>
            <rFont val="Tahoma"/>
            <family val="2"/>
          </rPr>
          <t xml:space="preserve">
Nach unseren Basis-Kosten für Lizenzen etc. wurden ab 2021 weiter 0,01 Cent pro User veranschlagt, um u.a. die steigenden Serverkosten abzubilden. Jeder Server, der pro Monat rund 300 Euro angemietet kostet, kann problemlos mehr als 30.000 User beherrbergen, aber es gibt noch weitere kleinere Kosten wie z.B. den erstmaligen SMS-Versand für die Registrierung, etc.
Kosten in Höhe von 1 Cent pro User und Monat sind insgesamt durchaus realistisch.</t>
        </r>
      </text>
    </comment>
    <comment ref="B42" authorId="0">
      <text>
        <r>
          <rPr>
            <b/>
            <sz val="9"/>
            <color indexed="81"/>
            <rFont val="Tahoma"/>
            <family val="2"/>
          </rPr>
          <t>Michael Schöggl:</t>
        </r>
        <r>
          <rPr>
            <sz val="9"/>
            <color indexed="81"/>
            <rFont val="Tahoma"/>
            <family val="2"/>
          </rPr>
          <t xml:space="preserve">
</t>
        </r>
        <r>
          <rPr>
            <b/>
            <sz val="9"/>
            <color indexed="81"/>
            <rFont val="Tahoma"/>
            <family val="2"/>
          </rPr>
          <t>Mit welchen Fixkosten müssen wir monatlich für Server, Lizenzen und andere userabhängige Kosten rechnen?</t>
        </r>
        <r>
          <rPr>
            <sz val="9"/>
            <color indexed="81"/>
            <rFont val="Tahoma"/>
            <family val="2"/>
          </rPr>
          <t xml:space="preserve">
</t>
        </r>
        <r>
          <rPr>
            <u/>
            <sz val="9"/>
            <color indexed="81"/>
            <rFont val="Tahoma"/>
            <family val="2"/>
          </rPr>
          <t>Begründung für diesen Wert</t>
        </r>
        <r>
          <rPr>
            <sz val="9"/>
            <color indexed="81"/>
            <rFont val="Tahoma"/>
            <family val="2"/>
          </rPr>
          <t xml:space="preserve">:
- Es handelt sich hier um einen Erfahrungswert aufgrund bisherigen Kosten - auch wenn bei 2000 € bereits alle Lizenzenkosten (für Shutterstock, Unity, Cision, Mailworx, etc.) enthalten sind.
- Diese nicht-userabgängigen Lizenzkosten sind nur einmalig zu bezahlen und werden später in den Betriebsausgaben veranschlagt. 
- Dieser Wert soll sich auf (noch nicht vorhandene) userabhängige Lizenzrechte, Service-Kosten (z.B. der SMS-Versand für den Zugangscode bei der Registrierung neuer User) und die bereits bekannten Serverkosten (ca. 300 € pro Monat für einen Server, der locker 300.000 User verwalten kann) beziehen. </t>
        </r>
      </text>
    </comment>
    <comment ref="C42" authorId="0">
      <text>
        <r>
          <rPr>
            <b/>
            <sz val="9"/>
            <color indexed="81"/>
            <rFont val="Tahoma"/>
            <family val="2"/>
          </rPr>
          <t>Michael Schöggl:</t>
        </r>
        <r>
          <rPr>
            <sz val="9"/>
            <color indexed="81"/>
            <rFont val="Tahoma"/>
            <family val="2"/>
          </rPr>
          <t xml:space="preserve">
</t>
        </r>
        <r>
          <rPr>
            <b/>
            <sz val="9"/>
            <color indexed="81"/>
            <rFont val="Tahoma"/>
            <family val="2"/>
          </rPr>
          <t>Wieviel € wird uns jeder User pro Monat für Service, Server und Lizenzrechte kosten?</t>
        </r>
        <r>
          <rPr>
            <sz val="9"/>
            <color indexed="81"/>
            <rFont val="Tahoma"/>
            <family val="2"/>
          </rPr>
          <t xml:space="preserve">
</t>
        </r>
        <r>
          <rPr>
            <u/>
            <sz val="9"/>
            <color indexed="81"/>
            <rFont val="Tahoma"/>
            <family val="2"/>
          </rPr>
          <t>Begründung für diesen Wert</t>
        </r>
        <r>
          <rPr>
            <sz val="9"/>
            <color indexed="81"/>
            <rFont val="Tahoma"/>
            <family val="2"/>
          </rPr>
          <t>:
- Nach unseren Basis-Kosten für Lizenzen etc. wurden ab 2021 weiter 0,01 Cent pro User veranschlagt, um u.a. die steigenden Serverkosten abzubilden. Jeder Server, der pro Monat rund 300 Euro angemietet kostet, kann problemlos mehr als 30.000 User beherrbergen, aber es gibt noch weitere kleinere Kosten wie z.B. den erstmaligen SMS-Versand für die Registrierung, etc.
- Kosten in Höhe von 1 Cent pro User und Monat sind insgesamt realistisch und pessimistisch geschätzt.
- Mittelfristig werden wir Server nicht mehr mieten, sondern selbst anschaffen, aber die Kosten werde als Abschreibposten ungefähr dieselben bleiben (eher sinken als steigen).</t>
        </r>
      </text>
    </comment>
    <comment ref="A43" authorId="0">
      <text>
        <r>
          <rPr>
            <b/>
            <sz val="9"/>
            <color indexed="81"/>
            <rFont val="Tahoma"/>
            <family val="2"/>
          </rPr>
          <t>Michael Schöggl:</t>
        </r>
        <r>
          <rPr>
            <sz val="9"/>
            <color indexed="81"/>
            <rFont val="Tahoma"/>
            <family val="2"/>
          </rPr>
          <t xml:space="preserve">
- Hier werden sämtliche Ausgaben für externe Dienstleister und sonstige Ausgaben (die nicht in die anderen Kategorien passen) subsummiert. 
- U.a. sind das Kosten für outgesourcte Softwareentwicklung, Rechtsberatung, IP-Beratung, allgemeine Unternehmsberatung (z.B. beim Pricing), Marketing-Dienstleistungen, Animation von 3D-Modellen (z.B. virtuelle Haustiere), Homepage-Entwicklung (eigentlich abgeschlossen - nichts, was wir selbst machen), etc.
- Kosten, die im Zuge eines Abos entstehen (z.B. für Shutterstock, Cision, Mailworx, Server, Lizenzen, etc.) werden hier nicht gelistet, sondern in der Kategorie 3.4 Betriebsausgaben, wenn sie unabhängig von der Anzahl unserer User sind, bzw. 3.10, wenn sie mit der Useranzahl mitskalieren. </t>
        </r>
      </text>
    </comment>
    <comment ref="B43" authorId="0">
      <text>
        <r>
          <rPr>
            <b/>
            <sz val="9"/>
            <color indexed="81"/>
            <rFont val="Tahoma"/>
            <family val="2"/>
          </rPr>
          <t>Michael Schöggl:</t>
        </r>
        <r>
          <rPr>
            <sz val="9"/>
            <color indexed="81"/>
            <rFont val="Tahoma"/>
            <family val="2"/>
          </rPr>
          <t xml:space="preserve">
</t>
        </r>
        <r>
          <rPr>
            <b/>
            <sz val="9"/>
            <color indexed="81"/>
            <rFont val="Tahoma"/>
            <family val="2"/>
          </rPr>
          <t xml:space="preserve">
Wieviel Prozent der gesamten Einnahmen werden wir für Outsourcing, externe Dienstleister und sonstige Ausgaben benötigen?</t>
        </r>
        <r>
          <rPr>
            <sz val="9"/>
            <color indexed="81"/>
            <rFont val="Tahoma"/>
            <family val="2"/>
          </rPr>
          <t xml:space="preserve">
</t>
        </r>
        <r>
          <rPr>
            <u/>
            <sz val="9"/>
            <color indexed="81"/>
            <rFont val="Tahoma"/>
            <family val="2"/>
          </rPr>
          <t>Begründung für diesen Wert</t>
        </r>
        <r>
          <rPr>
            <sz val="9"/>
            <color indexed="81"/>
            <rFont val="Tahoma"/>
            <family val="2"/>
          </rPr>
          <t>:
- Gerade zu Beginn werden wir keine Rechtsabteilung oder HR-Abteilung haben, sondern externe Dienstleister für derlei Aufgaben beschäftigen. Auch Marketing-Dienstleistungen sind hier abgebildet.
- Ein Teil unserer Entwicklung wird gerade zu Beginn auch durch Outsourcing abgedeckt, da dieser Weg es ermöglicht, international Experten relativ rasch einzusetzen. Ein eigenes Team aufzubauen, das alle Aufgaben übernimmt, kann einige Monate dauern. 
- Zu Beginn entsprechen 5% der Einnahmen zuzüglich 10.000 € an monatlichen Fixkosten einem Erfahrungswert, der genug Spielraum für Outsourcing lässt.
- Die Kosten pro Quartal steigen kontinuierlich um diese 5% der Einnahmen an, es wird der Wert des vorherigen Quartals entsprechend erhöht. Diese "Mindestkosten" bleiben erhalten.</t>
        </r>
      </text>
    </comment>
    <comment ref="C43"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fallen die prozentualen, einnahmeabhängigen Kosten für externe Dienstleistungen?</t>
        </r>
        <r>
          <rPr>
            <sz val="9"/>
            <color indexed="81"/>
            <rFont val="Tahoma"/>
            <family val="2"/>
          </rPr>
          <t xml:space="preserve">
</t>
        </r>
        <r>
          <rPr>
            <u/>
            <sz val="9"/>
            <color indexed="81"/>
            <rFont val="Tahoma"/>
            <family val="2"/>
          </rPr>
          <t>Begründung für diesen Wert</t>
        </r>
        <r>
          <rPr>
            <sz val="9"/>
            <color indexed="81"/>
            <rFont val="Tahoma"/>
            <family val="2"/>
          </rPr>
          <t>:
- Langfristig werden die Kosten für externe Dienstleister sinken, weil wir eigene Mitarbeiter für derlei Aufgaben beschäftigen werden. Darum wird der Prozentsatz von den Einnahmen im Laufe der Quartale deutlich fallen.
- Dazu kommt, dass unsere Kosten nicht im selben Ausmaß wie unsere Einnahmen ansteigen müssen, weil unsere Einnahmen primär aus neuen Usern resultieren und mehr User nicht zwangsläufig höhere Entwicklungskosten bedeuten müssen.</t>
        </r>
      </text>
    </comment>
    <comment ref="A44" authorId="1">
      <text>
        <r>
          <rPr>
            <b/>
            <sz val="9"/>
            <color indexed="81"/>
            <rFont val="Tahoma"/>
            <family val="2"/>
          </rPr>
          <t>e.com:</t>
        </r>
        <r>
          <rPr>
            <sz val="9"/>
            <color indexed="81"/>
            <rFont val="Tahoma"/>
            <family val="2"/>
          </rPr>
          <t xml:space="preserve">
</t>
        </r>
        <r>
          <rPr>
            <u/>
            <sz val="9"/>
            <color indexed="81"/>
            <rFont val="Tahoma"/>
            <family val="2"/>
          </rPr>
          <t>Informationen zu bezahlter Werbung:</t>
        </r>
        <r>
          <rPr>
            <sz val="9"/>
            <color indexed="81"/>
            <rFont val="Tahoma"/>
            <family val="2"/>
          </rPr>
          <t xml:space="preserve">
- erste Tests zeigen: rund 3 € pro neuem User (= Anmeldung, nicht nur Installation)
- viele Werbevideos sind vorbereitet und es ist einfach, neue zu erstellen: http://bit.ly/2zlcvAl
- wir werden bis Mitte 2020 verschiedenste Marketing-Zugänge austesten und jene mit dem besten Kosten-Nutzen-Verhältnis optimieren und forcieren
- die Kosten pro neuem User sind EXTREM wichtig, da uns jeder User pro Jahr mehr Geld bringt, als kostet und es sich daher lohnt, so viel Geld wie möglich in Werbung zu investieren
- wegen der geringen Fixkosten der Entwicklung (neue Inhalte stammen meist von Partnern!) wird connect alle Werbeausgaben multiplikativ wieder einspielen
- daher wichtigstes Ziel: Werbekosten pro neuem User minimieren und möglichst viel Geld in Werbung zu investieren (wir rechnen mit 30 % der Einnahmen)
- Kreislauf führt zu exponentiellem Wachstum: je mehr User, umso mehr Einnahmen und dadurch immer mehr Werbung (prozentualer Anteil der Einnahmen) - was wieder zu mehr Usern führt... wir gewinnen sehr schnell an Tempo
- bis die Kosten für neue User die Einnahmen übersteigen (weil die primäre Zielgruppe zunehmend ausgeschöpft ist) werden wir uns massiv auf bezahlte Werbung konzentrieren, danach (ca. ab 100+ Mio User) sind unsere multiplikativen Tricks (1.3 bis 1.9) mehr als ausreichend
</t>
        </r>
      </text>
    </comment>
    <comment ref="B44"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Wie viel kostet uns jeder neue User mit bezahlter Werbung? </t>
        </r>
        <r>
          <rPr>
            <sz val="9"/>
            <color indexed="81"/>
            <rFont val="Tahoma"/>
            <family val="2"/>
          </rPr>
          <t xml:space="preserve">
</t>
        </r>
        <r>
          <rPr>
            <u/>
            <sz val="9"/>
            <color indexed="81"/>
            <rFont val="Tahoma"/>
            <family val="2"/>
          </rPr>
          <t>Begründung für diesen Wert:</t>
        </r>
        <r>
          <rPr>
            <sz val="9"/>
            <color indexed="81"/>
            <rFont val="Tahoma"/>
            <family val="2"/>
          </rPr>
          <t xml:space="preserve">
- erste Tests zeigen ca. 3 € Kosten pro neuem User
- entspricht auch den durchschnittlichen Kosten laut mehreren Internetquellen (unten)
- durchschnittliche Kosten pro Installation sind laut Statista 0,44 Dollar bzw. 1,91 $ in den USA und 0,99 $ in Europa laut mobyaffiliates.com (siehe Quellen)
- bis Mitte 2020 testen wir mit geringem Kapital verschiedene Werbekanäle, der Fokus liegt auf Informationsgewinn statt neuen Usern</t>
        </r>
      </text>
    </comment>
    <comment ref="C44"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Absolute Verringerung der Akquirierungskosten pro Quartal in Euro.
</t>
        </r>
        <r>
          <rPr>
            <u/>
            <sz val="9"/>
            <color indexed="81"/>
            <rFont val="Tahoma"/>
            <family val="2"/>
          </rPr>
          <t xml:space="preserve">Begründung für diesen Wert:
</t>
        </r>
        <r>
          <rPr>
            <sz val="9"/>
            <color indexed="81"/>
            <rFont val="Tahoma"/>
            <family val="2"/>
          </rPr>
          <t>- Werbematerial wird immer professioneller.
- Erfahrungen helfen, den Werbezugang zu optimieren. 
- Das Produkt verbessert sich, der Nutzen für den Kunden steigt, wodurch auch mehr auf die Werbung anspringen. 
- Die Werbekosten allgemein sinken eher, als dass sie steigen würden.</t>
        </r>
      </text>
    </comment>
    <comment ref="J44" authorId="0">
      <text>
        <r>
          <rPr>
            <b/>
            <sz val="9"/>
            <color indexed="81"/>
            <rFont val="Tahoma"/>
            <family val="2"/>
          </rPr>
          <t xml:space="preserve">Michael Schöggl:
</t>
        </r>
        <r>
          <rPr>
            <sz val="9"/>
            <color indexed="81"/>
            <rFont val="Tahoma"/>
            <family val="2"/>
          </rPr>
          <t xml:space="preserve">
Durchschnittswert für dieses Jahr.</t>
        </r>
      </text>
    </comment>
    <comment ref="A45" authorId="0">
      <text>
        <r>
          <rPr>
            <b/>
            <sz val="9"/>
            <color indexed="81"/>
            <rFont val="Tahoma"/>
            <family val="2"/>
          </rPr>
          <t xml:space="preserve">Michael Schöggl:
</t>
        </r>
        <r>
          <rPr>
            <sz val="9"/>
            <color indexed="81"/>
            <rFont val="Tahoma"/>
            <family val="2"/>
          </rPr>
          <t xml:space="preserve">
Bis Mitte 2020 machen wir nur erste, günstige Tests mit bezahlter Werbung, um jene Kanäle zu finden, die das besten Kosten-Nutzen-Verhältnis haben (u.a. werden wir AdColony und Vungle testen, aber auch viele komplett andere Zugänge). 
Wenn wir bis Mitte 2020 den für uns besten Zugang gefunden haben, werden wir ihn optimieren und perfektionieren, um möglichst nicht mehr als 3 € pro neuem User an Kosten zu haben. Das sind realistische Erfahrungswerte für kostenlose Apps und Spiele, die sich sicher erreichen lassen, da connect ein breiteres, weniger spezifisches Puplikum anspricht und auch mehr weniger stark umkämpfte Werbezugänge erlaubt, als klassische App-Spiele. Wenn wir dieses Ziel erreichen, werden wir je nach finanzieller Aussicht zwischen 0 und 5.000 € pro Monat in Werbung stecken, bis wir erste Einnahmen haben. Die Prognose rechnet aktuell mit mindestens 5.000 € an Werbekosten pro Monat ab Mitte 2018.
Sobald wir Einnahmen haben, wollen wir rund 30% der Einnahmen in Werbung reinvestieren - jedoch mit einer Obergrenze, die nun willkürlich mit 1.000.000 festgelegt wurde</t>
        </r>
      </text>
    </comment>
    <comment ref="B45" authorId="0">
      <text>
        <r>
          <rPr>
            <b/>
            <sz val="9"/>
            <color indexed="81"/>
            <rFont val="Tahoma"/>
            <family val="2"/>
          </rPr>
          <t>Michael Schöggl:</t>
        </r>
        <r>
          <rPr>
            <sz val="9"/>
            <color indexed="81"/>
            <rFont val="Tahoma"/>
            <family val="2"/>
          </rPr>
          <t xml:space="preserve">
</t>
        </r>
        <r>
          <rPr>
            <b/>
            <sz val="9"/>
            <color indexed="81"/>
            <rFont val="Tahoma"/>
            <family val="2"/>
          </rPr>
          <t xml:space="preserve">Prozentsatz der Einnahmen, die wir pro Monat in bezahlte Werbung stecken. </t>
        </r>
        <r>
          <rPr>
            <sz val="9"/>
            <color indexed="81"/>
            <rFont val="Tahoma"/>
            <family val="2"/>
          </rPr>
          <t xml:space="preserve">
</t>
        </r>
        <r>
          <rPr>
            <u/>
            <sz val="9"/>
            <color indexed="81"/>
            <rFont val="Tahoma"/>
            <family val="2"/>
          </rPr>
          <t>Begründung für diesen Wert:</t>
        </r>
        <r>
          <rPr>
            <sz val="9"/>
            <color indexed="81"/>
            <rFont val="Tahoma"/>
            <family val="2"/>
          </rPr>
          <t xml:space="preserve">
- Dieser Wert hängt natürlich davon ab, wie viel uns jeder neue User tatsächlich kostet und ein Einnahmen bringt. 
- Auf Basis der aktuellen Schätzwerte ist klar, dass jeder User sehr rasch deutlich mehr Geld einbringt, als er kostet - weshalb es solange Sinn für uns macht, möglichst viel Geld in Werbung zu stecken, solange wir ein gutes Verhältnis der Kosten pro neuem User aufrechterhalten können. 
- Irgendwann sind bestimmte Marketingkanäle oder die Zielgruppe erschöpft und bei anderen Zugängen sind die Kosten pro neuem User höher, eventuell zu hoch. Darum gibt es in der Spalte rechts auch einen Grenzwert, wie viel Geld wir maximal pro Monat in bezahlte Werbung stecken sollten.
- Dieser Wert ist absichtlich ein Prozentwert von den Einnahmen, weil wir damit nicht riskieren würden, uns zu stark zu verschulden. 
- Mit entsprechendem Investment könnten wir natürlich auch unabhängig von den Einnahmen deutlich mehr Geld für bezahlte Werbung ausgeben und viel schneller wachsen. Wie die Zahlen in dieser Tabelle und bei vergleichbaren, erfolgreichen Social Networks zeigen (die teilweise Wachstumsraten von mehr als 500% pro Jahr haben - über die ersten 2-4 Jahre hinweg), entwicklen sich die Einnahmen und Userzahlen fast exponentiell, was bedeutet, dass es durchaus Sinn machen würde, den Start gewaltig zu beschleunigen, weil wir dann auch viel schneller in die schwarzen Zahlen kommen. 
- Weil wir x % der Einnahmen in Werbung investieren, ist die Entwicklung der Userzahlen "noch" exponentieller als ohnehin schon, schließlich bekommen wir durch mehr User mehr Einnahmen und investieren einen Teil dieser Einnahmen wieder in die Akquise neuer User. Der Kreislauf dreht sich immer schneller.</t>
        </r>
      </text>
    </comment>
    <comment ref="C45" authorId="0">
      <text>
        <r>
          <rPr>
            <b/>
            <sz val="9"/>
            <color indexed="81"/>
            <rFont val="Tahoma"/>
            <family val="2"/>
          </rPr>
          <t>Michael Schöggl:</t>
        </r>
        <r>
          <rPr>
            <sz val="9"/>
            <color indexed="81"/>
            <rFont val="Tahoma"/>
            <family val="2"/>
          </rPr>
          <t xml:space="preserve">
</t>
        </r>
        <r>
          <rPr>
            <b/>
            <sz val="9"/>
            <color indexed="81"/>
            <rFont val="Tahoma"/>
            <family val="2"/>
          </rPr>
          <t>Obergrenze. Wieviel € sollen maximalen pro Monat für Werbung ausgegeben werden?</t>
        </r>
        <r>
          <rPr>
            <sz val="9"/>
            <color indexed="81"/>
            <rFont val="Tahoma"/>
            <family val="2"/>
          </rPr>
          <t xml:space="preserve">
</t>
        </r>
        <r>
          <rPr>
            <u/>
            <sz val="9"/>
            <color indexed="81"/>
            <rFont val="Tahoma"/>
            <family val="2"/>
          </rPr>
          <t>Begründung für diesen Wert</t>
        </r>
        <r>
          <rPr>
            <sz val="9"/>
            <color indexed="81"/>
            <rFont val="Tahoma"/>
            <family val="2"/>
          </rPr>
          <t xml:space="preserve">:
- Es lassen sich nicht unbegrenzt viele Menschen monatlich mit bezahlter Werbung erreichen, ohne dass die Kosten pro neuem User durch Ineffizienz der Werbezugänge deutlich ansteigen. 
- Der Wert mit 10.000.000 € ist extrem hoch gewählt, weil es für ein Produkt wie connect a.) extrem viele verschiedene Möglichkeiten gibt, effektiv Werbung zu machen, und wir b.) bei den aktuellen Schätzungen auch genügend finanzielle Mittel hätten, um die besten Marketing-Profis weltweit einsetzen zu können.
- Solange uns jeder neue User weniger kostet, als er (mittelfristig) bringt, lohnt es sich, so viel Geld wie möglich in Werbung und Wachstum zu stecken. </t>
        </r>
      </text>
    </comment>
    <comment ref="B46" authorId="0">
      <text>
        <r>
          <rPr>
            <b/>
            <sz val="9"/>
            <color indexed="81"/>
            <rFont val="Tahoma"/>
            <family val="2"/>
          </rPr>
          <t>Michael Schöggl:</t>
        </r>
        <r>
          <rPr>
            <sz val="9"/>
            <color indexed="81"/>
            <rFont val="Tahoma"/>
            <family val="2"/>
          </rPr>
          <t xml:space="preserve">
</t>
        </r>
        <r>
          <rPr>
            <b/>
            <sz val="9"/>
            <color indexed="81"/>
            <rFont val="Tahoma"/>
            <family val="2"/>
          </rPr>
          <t>Wieviel Euro sollen insgesamt für eine "Boost-Kampagne" zu Beginn - d.h. nach dem offiziellem Release Mitte 2020 - ausgegeben werden?</t>
        </r>
        <r>
          <rPr>
            <sz val="9"/>
            <color indexed="81"/>
            <rFont val="Tahoma"/>
            <family val="2"/>
          </rPr>
          <t xml:space="preserve"> 
Verteilung ab Q3 2020 (pro Quartal): 35%, 30%, 20%, 15%
</t>
        </r>
        <r>
          <rPr>
            <u/>
            <sz val="9"/>
            <color indexed="81"/>
            <rFont val="Tahoma"/>
            <family val="2"/>
          </rPr>
          <t>Begründung für diesen Wert</t>
        </r>
        <r>
          <rPr>
            <sz val="9"/>
            <color indexed="81"/>
            <rFont val="Tahoma"/>
            <family val="2"/>
          </rPr>
          <t xml:space="preserve">:
- Je schneller unsere Userzahl </t>
        </r>
        <r>
          <rPr>
            <u/>
            <sz val="9"/>
            <color indexed="81"/>
            <rFont val="Tahoma"/>
            <family val="2"/>
          </rPr>
          <t>zu Beginn</t>
        </r>
        <r>
          <rPr>
            <sz val="9"/>
            <color indexed="81"/>
            <rFont val="Tahoma"/>
            <family val="2"/>
          </rPr>
          <t xml:space="preserve"> wächst, umso früher kommen wir in die Gewinnzone und umso mehr steigert sich auch das Wachstum von connect in den darauffolgenden Monaten. Darum lohnt es sich einen Teil des Investments gleich in bezahlte Werbung zu investieren - sofern die Mittel dafür übrig sind.
- Solange unsicher ist, ob jeder neue User wirklich mehr einbringt, als er kostet, stellt dieses Investment natürlich ein Risiko dar, darum macht diese Kampagne erst dann und nur solange Sinn, bis die Akquirierungskosten durch ein Ausschöpfen dieses Marketingzugangs zu hoch werden. Bevor wir so eine Kampagne starten, müssen wir genaue Zahlen zur Absprungrate und zu den ersten Einnahmen über den In-App-Shop haben, idealerweise auch die Wachstumsraten auf Basis der bereits bestehenden User. Diese Zahlen hier eingegeben erlauben einfache Hochrechnungen, ob sich das Investment lohnt. 
- Der hier eingetragene Betrag wird auf ein Jahr verteilt ausgegeben, davon 35% im 1. Quartal, 30% im 2. Quartal, 20% im 3. Quartal und 15% im 4. Quartal. Umso früher User akquiriert werden, umso stärker beeinflusst das den gesamten zukünftigen Verlauf positiv, aber gleichzeitig ergeben sich dadurch natürlich auch Risiken (z.B. kann der positive Werbeeffekt nicht beliebig weit hochskaliert werden). Das tatsächliche Tempo der Kampagne wird also von den konkreten Zahlen und Erfahrungen bis zu diesem Zeitpunkt abhängig gemacht.</t>
        </r>
      </text>
    </comment>
    <comment ref="A47" authorId="0">
      <text>
        <r>
          <rPr>
            <b/>
            <sz val="9"/>
            <color indexed="81"/>
            <rFont val="Tahoma"/>
            <family val="2"/>
          </rPr>
          <t xml:space="preserve">Michael Schöggl:
</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
</t>
        </r>
      </text>
    </comment>
    <comment ref="A49"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List>
</comments>
</file>

<file path=xl/comments9.xml><?xml version="1.0" encoding="utf-8"?>
<comments xmlns="http://schemas.openxmlformats.org/spreadsheetml/2006/main">
  <authors>
    <author>Michael Schöggl</author>
    <author>e.com</author>
  </authors>
  <commentList>
    <comment ref="B2" authorId="0">
      <text>
        <r>
          <rPr>
            <b/>
            <sz val="9"/>
            <color indexed="81"/>
            <rFont val="Tahoma"/>
            <family val="2"/>
          </rPr>
          <t xml:space="preserve">Michael Schöggl:
</t>
        </r>
        <r>
          <rPr>
            <sz val="9"/>
            <color indexed="81"/>
            <rFont val="Tahoma"/>
            <family val="2"/>
          </rPr>
          <t xml:space="preserve">
- Die Prognose "Möglich" geht von einem Verlauf aus, der vergleichbar mit den erfolgreichsten Social Networks weltweit ist.
- Es gibt rund 2000 Social Networks weltweit und nur ca. 10 davon wären so erfolgreich gewesen, wie connect in dieser Prognose. Das entspricht 0,5%. Aber möglich(!) ist so ein Verlauf dennoch, weil...
- ... die allermeisten Social Networks wenig Neues bieten und nur die Großen kopieren (betrifft geschätzte 90%). Das ist bei connect anders. 
- ... die allermeisten Social Networks sehr spezialisiert sind und sich nur an eine kleinere Zielgruppe richten. 
- ... die allermeisten Social Networks im Gegensatz zu connect keinen neuen Markt erschließen (VR), sondern nur im bestehenden Markt als 100ster Anbieter starten und der Markt bereits den Großen gehört. 
- ... connect mit dem Multi-Messenger das Hauptproblem neuer Social Networks löst: Sie haben zu Beginn keine User und sind daher uninteressant. Mit connect wird man alle Freunde erreichen können, das macht connect von Anfang an zum sozialen Erlebnis. 
- Zusammengefasst: Es gibt in Wirklichkeit gar nicht so viele Social Networks, deren Voraussetzungen für einen mit FB und Co vergleichbaren Erfolg überhaupt gegeben sind. Und wenn diese Voraussetzungen gegeben sind - wie z.B. bei connect (z.B. dass sie etwas Neues bieten und eine extrem breite Zielgruppe ansprechen), dann ist die Chance wahrscheinlich gar nicht so klein, einen vergleichbaren Erfolg zu feiern. 
- Natürlich gehen wir nicht von einem Verlauf wie dem hier dargestellten aus. Aber er wäre möglich und zwischen dem Verlauf von "Realistisch" bzw. "Optimistisch" zu diesem hier ist viel Luft. Wir könnten uns mit etwas Glück dawischen einordnen. Es hängt von unserer langfristigen Strategie ab und davon, wie gut es gelingt, den Wunsch der Kunden zu kennen und zu befriedigen, wie weit wir uns dieser "Möglich"-Prognose annähern. 
- Ich persönlich denke, dass ich sehr klar und konkret weiß, was an den großen Netzwerken verbessert werden müsste, bzw. wie ein Netzwerk aussehen müsste, damit es deutlich attraktiver als diese wäre. Meiner Meinung nach gibt es genügend Verbesserungsbedarf. Wenn die Umsetzung (durch Finanzierung etc.) eines besseres Netzwerks gelingt, halte ich es für realistisch, dass diese Prognose wahr wird.</t>
        </r>
      </text>
    </comment>
    <comment ref="D2" authorId="0">
      <text>
        <r>
          <rPr>
            <b/>
            <sz val="9"/>
            <color indexed="81"/>
            <rFont val="Tahoma"/>
            <family val="2"/>
          </rPr>
          <t>Michael Schöggl:</t>
        </r>
        <r>
          <rPr>
            <sz val="9"/>
            <color indexed="81"/>
            <rFont val="Tahoma"/>
            <family val="2"/>
          </rPr>
          <t xml:space="preserve">
- </t>
        </r>
        <r>
          <rPr>
            <u/>
            <sz val="9"/>
            <color indexed="81"/>
            <rFont val="Tahoma"/>
            <family val="2"/>
          </rPr>
          <t>In den hell-orange-rosanen Zellen</t>
        </r>
        <r>
          <rPr>
            <sz val="9"/>
            <color indexed="81"/>
            <rFont val="Tahoma"/>
            <family val="2"/>
          </rPr>
          <t xml:space="preserve"> wurden die Werte von Ihrer Schätzung im Register-Tab "Eigene Schätzung" übernommen.
-</t>
        </r>
        <r>
          <rPr>
            <u/>
            <sz val="9"/>
            <color indexed="81"/>
            <rFont val="Tahoma"/>
            <family val="2"/>
          </rPr>
          <t xml:space="preserve"> In den kräftig orangen Zellen</t>
        </r>
        <r>
          <rPr>
            <sz val="9"/>
            <color indexed="81"/>
            <rFont val="Tahoma"/>
            <family val="2"/>
          </rPr>
          <t xml:space="preserve"> können Sie weitere, zusätzliche Schätzwerte eintragen bzw. die bisherigen Werte durch einen zeitlichen Verlauf (z.B. Wachstum oder Reduktion eines Wertes um x pro Quartal) noch genauer spezifizieren.
- In den anderen </t>
        </r>
        <r>
          <rPr>
            <u/>
            <sz val="9"/>
            <color indexed="81"/>
            <rFont val="Tahoma"/>
            <family val="2"/>
          </rPr>
          <t>Register Tabs</t>
        </r>
        <r>
          <rPr>
            <sz val="9"/>
            <color indexed="81"/>
            <rFont val="Tahoma"/>
            <family val="2"/>
          </rPr>
          <t xml:space="preserve"> mit unseren eigenen Schätzwerten (z.B. "Realistisch", "Vorsichtig", etc.) sind diese zwei Spalten (D, E) leer. Wenn Sie dort Schätzwerte händisch eintragen, überschreiben Sie damit temporär unsere Schätzwerte in den zwei Spalten links davon (B, C). So können Sie auch abseits von Ihren Schätzwerten in "Eigene Schätzung" sehr detallierte eigene Prognosen erstellen. 
- </t>
        </r>
        <r>
          <rPr>
            <u/>
            <sz val="9"/>
            <color indexed="81"/>
            <rFont val="Tahoma"/>
            <family val="2"/>
          </rPr>
          <t>Weißer Hintergrund</t>
        </r>
        <r>
          <rPr>
            <sz val="9"/>
            <color indexed="81"/>
            <rFont val="Tahoma"/>
            <family val="2"/>
          </rPr>
          <t xml:space="preserve">: Die Schätzwerte aus den Spalten D und E (bzw. wenn Sie keine gesetzt haben, aus B und C) werden dann für die Berechnung aller Werte in den Spalten rechts (ab F) übernommen. Jedoch NUR für jene, mit farbigem Hintergrund. Die Zellen ab Spalte F, die weißen Hintergrund haben, verlangen, dass Sie händisch Werte eintragen, für sie wird nicht auf Basis von Formeln und den Schätzwerten von B bis E ein Wert ermittelt. Üblicherweise hat das den Grund, dass für diese Quartale andere Zahlen gelten müssen, z.B., weil die App bis Mitte 2020 (d.h. 1. und 2. Quartal 2020) noch nicht fertiggestellt ist und daher viele Schätzwerte deutlich negativer ausfallen werden, als in den Formeln für die Zeit danach. 
- Eigene Schätzwerte können grundsätzlich überall, im gesamten File, eingetragen werden. Keine Zelle wurde gesperrt. Wenn sich darin aber bereits Formeln befunden haben, würden diese dadurch gelöscht werden. Daher empfehlen wir, eine Sicherungskopie des Files anzulegen, oder nur in einem Tab (z.B: "Ergebnis eigene Schätzung") die Zellen durch eigene Werte zu überschreiben. Oder Sie kopieren einen Register-Tab und arbeiten an der Kopie. 
</t>
        </r>
      </text>
    </comment>
    <comment ref="F2" authorId="0">
      <text>
        <r>
          <rPr>
            <b/>
            <sz val="9"/>
            <color indexed="81"/>
            <rFont val="Tahoma"/>
            <family val="2"/>
          </rPr>
          <t>Michael Schöggl:</t>
        </r>
        <r>
          <rPr>
            <sz val="9"/>
            <color indexed="81"/>
            <rFont val="Tahoma"/>
            <family val="2"/>
          </rPr>
          <t xml:space="preserve">
- By Q3 2020 connect will be in the alpha development phase, where many functions are still missing, usability is poor and our users will therefore jump out again quickly. 
- All values up to Q3 2020 cannot be compared with later values, therefore many were entered manually instead of calculated by formula.</t>
        </r>
      </text>
    </comment>
    <comment ref="G2" authorId="0">
      <text>
        <r>
          <rPr>
            <b/>
            <sz val="9"/>
            <color indexed="81"/>
            <rFont val="Tahoma"/>
            <family val="2"/>
          </rPr>
          <t xml:space="preserve">Michael Schöggl:
- </t>
        </r>
        <r>
          <rPr>
            <sz val="9"/>
            <color indexed="81"/>
            <rFont val="Tahoma"/>
            <family val="2"/>
          </rPr>
          <t>By Q3 2020 connect will be in the alpha development phase, where many functions are still missing, usability is poor and our users will therefore jump out again quickly. 
- All values up to Q3 2020 cannot be compared with later values, therefore many were entered manually instead of calculated by formula.</t>
        </r>
      </text>
    </comment>
    <comment ref="A3" authorId="1">
      <text>
        <r>
          <rPr>
            <b/>
            <sz val="9"/>
            <color indexed="81"/>
            <rFont val="Tahoma"/>
            <family val="2"/>
          </rPr>
          <t xml:space="preserve">e.com:
</t>
        </r>
        <r>
          <rPr>
            <sz val="9"/>
            <color indexed="81"/>
            <rFont val="Tahoma"/>
            <family val="2"/>
          </rPr>
          <t xml:space="preserve">
Für den Erfolg von connect sind vor allem die Userzahlen verantwortlich. 
</t>
        </r>
        <r>
          <rPr>
            <u/>
            <sz val="9"/>
            <color indexed="81"/>
            <rFont val="Tahoma"/>
            <family val="2"/>
          </rPr>
          <t>Wachstumsraten der erfolgreichsten Social Networks</t>
        </r>
        <r>
          <rPr>
            <sz val="9"/>
            <color indexed="81"/>
            <rFont val="Tahoma"/>
            <family val="2"/>
          </rPr>
          <t xml:space="preserve">: 
- im dritten Jahr hatten sie bereits mehr als 4 Millionen User (bis zu 355 Mio - WeChat)
- erst ab ca. 600 Millionen Usern weniger Wachstum als 50 % pro Jahr (davor deutlich mehr)
- siehe "Vergleich Wachstum Mitbewerber" (Register-Tab unten links)
</t>
        </r>
        <r>
          <rPr>
            <b/>
            <sz val="9"/>
            <color indexed="81"/>
            <rFont val="Tahoma"/>
            <family val="2"/>
          </rPr>
          <t xml:space="preserve">
Erklärungen:</t>
        </r>
        <r>
          <rPr>
            <sz val="9"/>
            <color indexed="81"/>
            <rFont val="Tahoma"/>
            <family val="2"/>
          </rPr>
          <t xml:space="preserve">
-</t>
        </r>
        <r>
          <rPr>
            <u/>
            <sz val="9"/>
            <color indexed="81"/>
            <rFont val="Tahoma"/>
            <family val="2"/>
          </rPr>
          <t xml:space="preserve"> Summe A</t>
        </r>
        <r>
          <rPr>
            <sz val="9"/>
            <color indexed="81"/>
            <rFont val="Tahoma"/>
            <family val="2"/>
          </rPr>
          <t xml:space="preserve"> (Zeile 8) zählt alle </t>
        </r>
        <r>
          <rPr>
            <u/>
            <sz val="9"/>
            <color indexed="81"/>
            <rFont val="Tahoma"/>
            <family val="2"/>
          </rPr>
          <t>neuen User</t>
        </r>
        <r>
          <rPr>
            <sz val="9"/>
            <color indexed="81"/>
            <rFont val="Tahoma"/>
            <family val="2"/>
          </rPr>
          <t xml:space="preserve"> abzüglich der Sättigung(!) zusammen, die </t>
        </r>
        <r>
          <rPr>
            <u/>
            <sz val="9"/>
            <color indexed="81"/>
            <rFont val="Tahoma"/>
            <family val="2"/>
          </rPr>
          <t>relativ unabhängig von der bisherigen User-Basis neu zu connect kommen</t>
        </r>
        <r>
          <rPr>
            <sz val="9"/>
            <color indexed="81"/>
            <rFont val="Tahoma"/>
            <family val="2"/>
          </rPr>
          <t xml:space="preserve"> (bezahlte Werbung, Medien-Berichte, organische Suche). Ohne diese Zugänge könnten wir zu Beginn nicht ausreichend viele User aufbauen, um über Summe B (Zeile 14) durch die Nutzung aller bisherigen User für Marketing-Maßnahmen prozentual weiter zu wachsen. 
- </t>
        </r>
        <r>
          <rPr>
            <u/>
            <sz val="9"/>
            <color indexed="81"/>
            <rFont val="Tahoma"/>
            <family val="2"/>
          </rPr>
          <t>Summe B</t>
        </r>
        <r>
          <rPr>
            <sz val="9"/>
            <color indexed="81"/>
            <rFont val="Tahoma"/>
            <family val="2"/>
          </rPr>
          <t xml:space="preserve"> (Zeile 14) zählt alle </t>
        </r>
        <r>
          <rPr>
            <u/>
            <sz val="9"/>
            <color indexed="81"/>
            <rFont val="Tahoma"/>
            <family val="2"/>
          </rPr>
          <t>neuen User</t>
        </r>
        <r>
          <rPr>
            <sz val="9"/>
            <color indexed="81"/>
            <rFont val="Tahoma"/>
            <family val="2"/>
          </rPr>
          <t xml:space="preserve"> abzüglich der Sättigung(!) zusammen, die </t>
        </r>
        <r>
          <rPr>
            <u/>
            <sz val="9"/>
            <color indexed="81"/>
            <rFont val="Tahoma"/>
            <family val="2"/>
          </rPr>
          <t>abhängig von der bisherigen User-Basis neu dazukommen</t>
        </r>
        <r>
          <rPr>
            <sz val="9"/>
            <color indexed="81"/>
            <rFont val="Tahoma"/>
            <family val="2"/>
          </rPr>
          <t xml:space="preserve">. Neben Mundpropaganda (1.5) sind das weitere "Tricks" (1.6 bis 1.9), um unsere bestehenden User als Werbebotschafter verwenden zu können.
- Von Summe A und B müssen dann noch unter 1.11 jene User abgezogen werden, die connect wieder verlassen. Wir rechnen hier mit einem einstellbaren Prozentsatz.
</t>
        </r>
        <r>
          <rPr>
            <b/>
            <sz val="9"/>
            <color indexed="81"/>
            <rFont val="Tahoma"/>
            <family val="2"/>
          </rPr>
          <t>Warum wird connect genauso schnell wie die erfolgreichsten Social Networks wachsen?</t>
        </r>
        <r>
          <rPr>
            <sz val="9"/>
            <color indexed="81"/>
            <rFont val="Tahoma"/>
            <family val="2"/>
          </rPr>
          <t xml:space="preserve">
- Andere Netzwerke wachsen meist nur durch bezahlte Werbung oder Mundpropaganda. 
- connect hat mindestens 4 zusätzliche, </t>
        </r>
        <r>
          <rPr>
            <b/>
            <sz val="9"/>
            <color indexed="81"/>
            <rFont val="Tahoma"/>
            <family val="2"/>
          </rPr>
          <t>einzigartige</t>
        </r>
        <r>
          <rPr>
            <sz val="9"/>
            <color indexed="81"/>
            <rFont val="Tahoma"/>
            <family val="2"/>
          </rPr>
          <t xml:space="preserve"> Zugänge mit multiplikativem</t>
        </r>
        <r>
          <rPr>
            <b/>
            <sz val="9"/>
            <color indexed="81"/>
            <rFont val="Tahoma"/>
            <family val="2"/>
          </rPr>
          <t xml:space="preserve"> Schnellball-Effekt</t>
        </r>
        <r>
          <rPr>
            <sz val="9"/>
            <color indexed="81"/>
            <rFont val="Tahoma"/>
            <family val="2"/>
          </rPr>
          <t xml:space="preserve">: 
- 1.3 Medien-Kooperationen durch die Medienschnittstelle: hunderte bis tausende Medien werden über uns kostenlos berichten, unser Erfolg ist auch ihr Erfolg
- 1.6 Multi-Messenger-Anhänge: durch "sent by connect" verbreitet jeder unserer User in seinem gesamten Kontakte-Netzwerk unseren Namen und erklärt auf Nachfrage hin, was connect ist
- 1.7 Multi-Messenger-Sharings in anderen Netzwerken: die Attraktivität von connect wird in Form von (360-Grad)-Videos und Fotos in allen anderen Netzwerken verbreitet
- 1.9 Initialisierte Mundpropaganda: durch unsere einzigartigen Klingeltöne und das Tresor-Mini-Spiele fallen unsere User in der Öffentlichkeit ständig auf
- connect hat mit Release im Jahr 2020 viel mehr zu bieten, als diese anderen Netzwerke bei ihrem Start (Multi-Media, VR, Video-Telefonie, Verschlüsselung, Individualisierung, virtuelles Eigentum, Spiele, virtuelle Haustiere, Multi-Messenger...)
- connect hebt sich sowohl optisch, als auch funktionell komplett von allen Konkurrenten ab, es gibt nichts Vergleichbares; connect ist technologisch führend und sehr verspielt für junge Menschen (VR, virtuelle Haustiere, individualisierbares Zuhause etc.)
- mit dem Multi-Messenger integriert connect die Stärken der anderen Netzwerke in sich selbst
- connect bietet maximalen Datenschutz, allein das ist ein Nutzungsgrund für Millionen Menschen und im Bereich VR ist das Neuland und von noch größerer Bedeutung (weil intimer, persönlicher)
</t>
        </r>
      </text>
    </comment>
    <comment ref="A4" authorId="1">
      <text>
        <r>
          <rPr>
            <b/>
            <sz val="9"/>
            <color indexed="81"/>
            <rFont val="Tahoma"/>
            <family val="2"/>
          </rPr>
          <t xml:space="preserve">e.com:
- </t>
        </r>
        <r>
          <rPr>
            <sz val="9"/>
            <color indexed="81"/>
            <rFont val="Tahoma"/>
            <family val="2"/>
          </rPr>
          <t>Diese Werte können auch manuell für jedes Quartal extra eingetragen werden, sinnvoller ist aber die Berechnung der Multiplikation aus Kosten pro neuem User (1.0) und der Werbeausgaben. Diese Werte daher am besten nicht manuell überschreiben, sondern indirekt durch die Änderungen in 1.0 und 3.12 erreichen.
- Das besondere an diesem Wert: Wir können ihn fast beliebig durch Werbeausgaben hochtreiben (und die Ausgaben werden mittelfristig deutlich unter den Einnahmen liegen), daher erlaubt er hohe Flexibilität. Selbst, wenn connect wider Erwarten nicht "von selbst" zum viralen Hit wird, durch entsprechende finanzielle Nachhilfe lässt sich der Erfolg mit Sicherheit erzielen. 
- Im Gegensatz zu vielen anderen Produkten und speziell VR-Apps hat connect eine fast unbegrenzte Zielgruppe, weil connect auch in 3D oder 2D und auf jedem Gerät erlebt werden kann und daher als maximale Zielgruppe Milliarden Menschen erreichen kann. Viele Menschen verwenden mehrere Soziale Netzwerke parallel zueinander, weshalb auch die Konkurrenz nicht zwingend unseren Erfolg bremsen muss. 
- Aber natürlich müsste der Marketing-Fokus sich auf die 3D-Versionen beziehen, wenn der VR-Markt "ausgeschöpft" sein sollte. Dieser VR-Markt ist aktuell (Ende 2019) noch sehr klein (rund 10 Mio Menschen), wird aber laut Prognosen in den kommenden 2-3 Jahren enorm anwachsen. In diesem Markt mitzuwachsen erlaubt ein besseres Kosten-Nutzen-Verhältnis, als ein Marketing-Fokus auf Nicht-VR-User (hier ist der Wettbewerb stärker und die Zielgruppe weniger Technik-affin), d.h. ein Wachstum abseits von VR wird teurer werden, aber sich wegen unserer vielen Geschäftsmodelle trotzdem noch lohnen.  
- Vermutlich kommt aber connect genau zum richtigen Zeitpunkt heraus, dass der VR-Markt schneller oder genauso schnell wächst, wie connect und wir den klassischen Social Network Markt auch ohne Marketing-Fokus einfach als Bonus mitnehmen können, ohne uns darauf konzentrieren zu müssen. -</t>
        </r>
      </text>
    </comment>
    <comment ref="B4" authorId="0">
      <text>
        <r>
          <rPr>
            <b/>
            <sz val="9"/>
            <color indexed="81"/>
            <rFont val="Tahoma"/>
            <family val="2"/>
          </rPr>
          <t xml:space="preserve">Michael Schöggl:
Diese Wert bitte in 3.13 einstellen, danke!
</t>
        </r>
        <r>
          <rPr>
            <sz val="9"/>
            <color indexed="81"/>
            <rFont val="Tahoma"/>
            <family val="2"/>
          </rPr>
          <t xml:space="preserve">
</t>
        </r>
        <r>
          <rPr>
            <b/>
            <sz val="9"/>
            <color indexed="81"/>
            <rFont val="Tahoma"/>
            <family val="2"/>
          </rPr>
          <t>Prozentsatz der Einnahmen, die wir pro Monat in bezahlte Werbung stecken.</t>
        </r>
        <r>
          <rPr>
            <sz val="9"/>
            <color indexed="81"/>
            <rFont val="Tahoma"/>
            <family val="2"/>
          </rPr>
          <t xml:space="preserve"> 
</t>
        </r>
        <r>
          <rPr>
            <u/>
            <sz val="9"/>
            <color indexed="81"/>
            <rFont val="Tahoma"/>
            <family val="2"/>
          </rPr>
          <t>Begründung für diesen Wert:</t>
        </r>
        <r>
          <rPr>
            <sz val="9"/>
            <color indexed="81"/>
            <rFont val="Tahoma"/>
            <family val="2"/>
          </rPr>
          <t xml:space="preserve">
- Dieser Wert hängt natürlich davon ab, wie viel uns jeder neue User tatsächlich kostet und ein Einnahmen bringt. 
- Auf Basis der aktuellen Schätzwerte ist klar, dass jeder User sehr rasch deutlich mehr Geld einbringt, als er kostet - weshalb es solange Sinn für uns macht, möglichst viel Geld in Werbung zu stecken, solange wir ein gutes Verhältnis der Kosten pro neuem User aufrechterhalten können. 
- Irgendwann sind bestimmte Marketingkanäle oder die Zielgruppe erschöpft und bei anderen Zugängen sind die Kosten pro neuem User höher, eventuell zu hoch. Darum gibt es in der Spalte rechts auch einen Grenzwert, wie viel Geld wir maximal pro Monat in bezahlte Werbung stecken sollten.
- Dieser Wert ist absichtlich ein Prozentwert von den Einnahmen, weil wir damit nicht riskieren würden, uns zu stark zu verschulden. 
- Mit entsprechendem Investment könnten wir natürlich auch unabhängig von den Einnahmen deutlich mehr Geld für bezahlte Werbung ausgeben und viel schneller wachsen. Wie die Zahlen in dieser Tabelle und bei vergleichbaren, erfolgreichen Social Networks zeigen (die teilweise Wachstumsraten von mehr als 500% pro Jahr haben - über die ersten 2-4 Jahre hinweg), entwicklen sich die Einnahmen und Userzahlen fast exponentiell, was bedeutet, dass es durchaus Sinn machen würde, den Start gewaltig zu beschleunigen, weil wir dann auch viel schneller in die schwarzen Zahlen kommen. 
- Weil wir x % der Einnahmen in Werbung investieren, ist die Entwicklung der Userzahlen "noch" exponentieller als ohnehin schon, schließlich bekommen wir durch mehr User mehr Einnahmen und investieren einen Teil dieser Einnahmen wieder in die Akquise neuer User. Der Kreislauf dreht sich immer schneller.</t>
        </r>
      </text>
    </comment>
    <comment ref="C4" authorId="0">
      <text>
        <r>
          <rPr>
            <b/>
            <sz val="9"/>
            <color indexed="81"/>
            <rFont val="Tahoma"/>
            <family val="2"/>
          </rPr>
          <t>Michael Schöggl:
Diesen Wert bitte in 3.13 einstellen, danke.</t>
        </r>
        <r>
          <rPr>
            <sz val="9"/>
            <color indexed="81"/>
            <rFont val="Tahoma"/>
            <family val="2"/>
          </rPr>
          <t xml:space="preserve">
</t>
        </r>
        <r>
          <rPr>
            <b/>
            <sz val="9"/>
            <color indexed="81"/>
            <rFont val="Tahoma"/>
            <family val="2"/>
          </rPr>
          <t xml:space="preserve">Obergrenze. Wieviel € sollen maximalen pro Monat für Werbung ausgegeben werden?
</t>
        </r>
        <r>
          <rPr>
            <u/>
            <sz val="9"/>
            <color indexed="81"/>
            <rFont val="Tahoma"/>
            <family val="2"/>
          </rPr>
          <t>Begründung für diesen Wert</t>
        </r>
        <r>
          <rPr>
            <sz val="9"/>
            <color indexed="81"/>
            <rFont val="Tahoma"/>
            <family val="2"/>
          </rPr>
          <t xml:space="preserve">:
- Es lassen sich nicht unbegrenzt viele Menschen monatlich mit bezahlter Werbung erreichen, ohne dass die Kosten pro neuem User durch Ineffizienz der Werbezugänge deutlich ansteigen. 
- Der Wert mit 10.000.000 € ist extrem hoch gewählt, weil es für ein Produkt wie connect a.) extrem viele verschiedene Möglichkeiten gibt, effektiv Werbung zu machen, und wir b.) bei den aktuellen Schätzungen auch genügend finanzielle Mittel hätten, um die besten Marketing-Profis weltweit einsetzen zu können.
- Solange uns jeder neue User weniger kostet, als er (mittelfristig) bringt, lohnt es sich, so viel Geld wie möglich in Werbung und Wachstum zu stecken. </t>
        </r>
        <r>
          <rPr>
            <sz val="9"/>
            <color indexed="81"/>
            <rFont val="Tahoma"/>
            <family val="2"/>
          </rPr>
          <t xml:space="preserve">
</t>
        </r>
      </text>
    </comment>
    <comment ref="A5" authorId="1">
      <text>
        <r>
          <rPr>
            <b/>
            <sz val="9"/>
            <color indexed="81"/>
            <rFont val="Tahoma"/>
            <family val="2"/>
          </rPr>
          <t xml:space="preserve">e.com:
</t>
        </r>
        <r>
          <rPr>
            <sz val="9"/>
            <color indexed="81"/>
            <rFont val="Tahoma"/>
            <family val="2"/>
          </rPr>
          <t xml:space="preserve">
- Unser Ziel wird es sein, im App-Store-Ranking und auch bei Steam in den Listen ganz weit oben zu landen. Wenn uns das gelingt, erreichen wir allein über die organische Suche (weil connect kostenlos und neuartig ist) zuverlässig tausende neue User pro Monat.
- Bereits wenige Wochen nach der stillen Veröffentlichung - mit einer unfertigen Version, ohne jegliche Marketing-Maßnahmen oder ernste App-Store-Optimierungen wird connect von rund 2000 neuen Usern pro Monat auf Steam heruntergeladen, auch wenn die App als Early Access in praktisch keiner Liste auftaucht (das ändert sich mit dem Release 2020). 
- Auch im Google Play Store erhalten wir täglich zwischen 10 und 50 Downloads, Tendenz steigend. 
- connect wird auch für PlayStation (VR) veröffentlicht und dort ganz sicher - mangels Konkurrenz und weil es kostenlos ist - von den bestehenden rund 400.000 neuen PlayStation-VR-Usern pro Quartal (Tendenz stark steigend) einen mindestens 1-3%igen Anteil der User erreichen können - ohne Werbekosten. Gerade die PlayStation hat ein gewaltiges Potential, weil es hier praktisch keine Alternativen gibt - auch nicht in absehbarer Zukunft. Schon gar keinen Multimessenger, mit dem man Mails, FB-Nachrichten, SMS und mehr schreiben kann. 
- Die Organische Suche über App-Store-Ranking reicht bei manchen Spielen aus, um in wenigen Monaten hunderttausende neue User zu erreichen. Wir werden einen großen Fokus darauf legen, in all diesen "Stores" (für alle unterstütze Geräte) maximale Sichtbarkeit zu erzielen. Die Schätzwerte hier sind also überaus vorsichtig, da connect kostenlos ist, könnte hier deutlich mehr Schwung reinkommen, sobald wir im Ranking ganz oben sind. </t>
        </r>
      </text>
    </comment>
    <comment ref="B5" authorId="0">
      <text>
        <r>
          <rPr>
            <b/>
            <sz val="9"/>
            <color indexed="81"/>
            <rFont val="Tahoma"/>
            <family val="2"/>
          </rPr>
          <t xml:space="preserve">Michael Schöggl:
</t>
        </r>
        <r>
          <rPr>
            <sz val="9"/>
            <color indexed="81"/>
            <rFont val="Tahoma"/>
            <family val="2"/>
          </rPr>
          <t xml:space="preserve">
</t>
        </r>
        <r>
          <rPr>
            <b/>
            <sz val="9"/>
            <color indexed="81"/>
            <rFont val="Tahoma"/>
            <family val="2"/>
          </rPr>
          <t>Um welchen Fixwert steigert sich die Anzahl der neuen User durch organische Suche pro Quartal?</t>
        </r>
        <r>
          <rPr>
            <sz val="9"/>
            <color indexed="81"/>
            <rFont val="Tahoma"/>
            <family val="2"/>
          </rPr>
          <t xml:space="preserve">
</t>
        </r>
        <r>
          <rPr>
            <u/>
            <sz val="9"/>
            <color indexed="81"/>
            <rFont val="Tahoma"/>
            <family val="2"/>
          </rPr>
          <t>Begründung für diesen Wert</t>
        </r>
        <r>
          <rPr>
            <sz val="9"/>
            <color indexed="81"/>
            <rFont val="Tahoma"/>
            <family val="2"/>
          </rPr>
          <t>:
- Die Steigerung liegt u.a. daran, dass wir im Ranking weiter aufsteigen, je mehr Downloads wir erhalten und dadurch viel einfacher zu finden sind. Außerdem werden wir unseren App-Store-Auftritt optimieren (ASO) (u.a. weil wir zunehmend mehr Geld und damit auch Möglichkeiten in durch Outsourcing-Profis haben).
- Für mehr Argumente siehe Spalte rechts.</t>
        </r>
      </text>
    </comment>
    <comment ref="C5" authorId="0">
      <text>
        <r>
          <rPr>
            <b/>
            <sz val="9"/>
            <color indexed="81"/>
            <rFont val="Tahoma"/>
            <family val="2"/>
          </rPr>
          <t xml:space="preserve">Michael Schöggl:
</t>
        </r>
        <r>
          <rPr>
            <sz val="9"/>
            <color indexed="81"/>
            <rFont val="Tahoma"/>
            <family val="2"/>
          </rPr>
          <t xml:space="preserve">
</t>
        </r>
        <r>
          <rPr>
            <b/>
            <sz val="9"/>
            <color indexed="81"/>
            <rFont val="Tahoma"/>
            <family val="2"/>
          </rPr>
          <t>Um wie viel Prozent erhöht sich der Wert pro Quartal?</t>
        </r>
        <r>
          <rPr>
            <sz val="9"/>
            <color indexed="81"/>
            <rFont val="Tahoma"/>
            <family val="2"/>
          </rPr>
          <t xml:space="preserve">
</t>
        </r>
        <r>
          <rPr>
            <u/>
            <sz val="9"/>
            <color indexed="81"/>
            <rFont val="Tahoma"/>
            <family val="2"/>
          </rPr>
          <t>Begründung für diesen Wert</t>
        </r>
        <r>
          <rPr>
            <sz val="9"/>
            <color indexed="81"/>
            <rFont val="Tahoma"/>
            <family val="2"/>
          </rPr>
          <t xml:space="preserve">:
- Die Steigerung wird nicht linear sein (also immer um einen Fixwert pro Quartal mehr), sondern umso stärker zunehmen, je bekannter die App wird und umso weiter sie auch im Ranking aufsteigt. 
- Wenn wir z.B. unter den Top 10 landen, dürfen wir allein dadurch mit Millionen Views pro Monat rechnen und insofern auch problemlos mit mehreren tausend neuen Usern. 
- Bis Ende 2022 sollte uns ein Platz unter den Top 10 für einige wichtige Keywords bzw. Kategorien gelingen. Mit entsprechendem Kapital lässt sich das aber schon viel früher erreichen.
- Wir werden einen starken Fokus auf App-Store-Optimierung legen und auch Zeit und Geld investieren, um auf möglichst vielen Plattformen möglichst einfach gefunden zu werden. Diese Investments sind primär Personalkosten (3.2), weshalb sich eine eigene Darstellung hier nicht lohnt.
- Umso vielseitiger connect (funktionell) wird, umso mehr Keywords passen für die organische Suche und umso höher steigen wir auch bei neuen Keywords im Ranking auf. 
- Wenn Partner oder Medien auf uns mit Links verweisen, beeinflußt das unser Ranking ebenso positiv. 
- Wir werden auch später Usern für (positive) Bewertungen In-App-Gegenleistungen geben, je positiver die Bewertung, umso höher steigen wir im Ranking. 
- Je mehr Downloads wir bereits erzielt haben, umso höher steigen wir im Ranking und umso mehr finden uns durch organische Suche.
- Unser CTO hat ganz alleine Apps programmiert, die mehr als 600 User </t>
        </r>
        <r>
          <rPr>
            <i/>
            <sz val="9"/>
            <color indexed="81"/>
            <rFont val="Tahoma"/>
            <family val="2"/>
          </rPr>
          <t>pro Tag</t>
        </r>
        <r>
          <rPr>
            <sz val="9"/>
            <color indexed="81"/>
            <rFont val="Tahoma"/>
            <family val="2"/>
          </rPr>
          <t xml:space="preserve"> an Downloads ohne irgendwelche Marketing-Maßnahmen allein aufgrund der organischen Suche verzeichnen (d.h. 18.000 im Monat). Unsere Werte hier sind sehr bescheiden.</t>
        </r>
      </text>
    </comment>
    <comment ref="A6" authorId="1">
      <text>
        <r>
          <rPr>
            <b/>
            <sz val="9"/>
            <color indexed="81"/>
            <rFont val="Tahoma"/>
            <family val="2"/>
          </rPr>
          <t xml:space="preserve">e.com:
Violette Marketing-Zugänge sind neuartige Konzepte von connect, die anderen Social Networks nicht zur Verfügung standen, oder zumindest nicht in diesem Ausmaß </t>
        </r>
        <r>
          <rPr>
            <sz val="9"/>
            <color indexed="81"/>
            <rFont val="Tahoma"/>
            <family val="2"/>
          </rPr>
          <t>(z.B. Medien direkt zur Berichterstattung zu motivieren (1.3) bzw. Usern für das Werben neuer User eine interessante Belohnung in Form von limitierten, exklusive In-App-Inhalten wie virtuellen Haustieren, etc. zu geben, die sie auch wirklich wollen (1.8))</t>
        </r>
        <r>
          <rPr>
            <b/>
            <sz val="9"/>
            <color indexed="81"/>
            <rFont val="Tahoma"/>
            <family val="2"/>
          </rPr>
          <t xml:space="preserve">. 
</t>
        </r>
        <r>
          <rPr>
            <sz val="9"/>
            <color indexed="81"/>
            <rFont val="Tahoma"/>
            <family val="2"/>
          </rPr>
          <t xml:space="preserve">
- Ab Q3 in 2020 ist connect fertig und wir werden bis dahin aufgebaute Medien-Kooperationen nutzen, um connect durch Berichterstattung bekannt zu machen.
- Bis dahin werden wir auch genügend Testuser haben, um den Medien unser Thema als berichtenswert zu verkaufen. 
- Manche Medien erreichen Millionen Menschen, wir haben die Kontaktdaten von 200.000 Medien weltweit, denen wir anbieten können, unsere Medienschnittstelle kostenlos verwenden zu können, wenn sie dafür über uns berichten. 
- Zu Beginn wird das Interesse zaghaft sein, aber wenn wir ein paar größere Medien durch persönliche Bemühungen überzeugen konnten, werden rasch immer mehr Medie mehr auf den "Zug aufspringen" und sich die kostenlose Schnittstelle durch Berichterstattung sichern.
- Die Medien müssen regelmäßig für die Schjnittstelle berichten und langfristig werden fast alle Medien ein Interesse haben, weil wir kostenlose neue Kunden bringen, über ein bereits an Fahrt gewinnendes neues Social Network in VR (bzw. die Verwirklichung von Träumen) zu berichten.</t>
        </r>
      </text>
    </comment>
    <comment ref="B6" authorId="0">
      <text>
        <r>
          <rPr>
            <b/>
            <sz val="9"/>
            <color indexed="81"/>
            <rFont val="Tahoma"/>
            <family val="2"/>
          </rPr>
          <t>Michael Schöggl:</t>
        </r>
        <r>
          <rPr>
            <sz val="9"/>
            <color indexed="81"/>
            <rFont val="Tahoma"/>
            <family val="2"/>
          </rPr>
          <t xml:space="preserve">
</t>
        </r>
        <r>
          <rPr>
            <b/>
            <sz val="9"/>
            <color indexed="81"/>
            <rFont val="Tahoma"/>
            <family val="2"/>
          </rPr>
          <t>Von wievielen neuen Usern durch Medienberichte gehen wir zu Beginn aus?</t>
        </r>
        <r>
          <rPr>
            <sz val="9"/>
            <color indexed="81"/>
            <rFont val="Tahoma"/>
            <family val="2"/>
          </rPr>
          <t xml:space="preserve"> (danach nur noch prozentuale Steigerung)
</t>
        </r>
        <r>
          <rPr>
            <u/>
            <sz val="9"/>
            <color indexed="81"/>
            <rFont val="Tahoma"/>
            <family val="2"/>
          </rPr>
          <t>Begründung für diesen Wert:</t>
        </r>
        <r>
          <rPr>
            <sz val="9"/>
            <color indexed="81"/>
            <rFont val="Tahoma"/>
            <family val="2"/>
          </rPr>
          <t xml:space="preserve">
- 100 neue User pro Monat durch Medienberichte sind realistisch, das entspricht ca. 1-2 kleineren Berichten im Monat. Wir haben bereits fixe Zusagen von z.B. der Antenne Steiermark und Kärnten, dass sie mehrmals über uns berichten wollen. 
- Auch gab es vor Veröffentlichung der ersten Testversionen bereits ca. 30 Medienberichte über uns, u.a. vom ORF, Kleine Zeitung, Der Standard, OE24 (3 Berichte) und KroneHit. Leider waren all diese Medienberichte zu früh, die Interessierten hatten noch keine App, die sie probieren konnten, teilweise noch nicht einmal einen Homepage-Link. Wir warten nun absichtlich, bis connect einen guten Eindruck bei allen Testern hinterlässt, bevor wir erneut Zeit und Energie in die Medienberichterstattung stecken. Durch unsere Medienschnittstelle werden wir sehr leicht Berichterstattung erhalten, sobald connect fertiggestellt ist und ein positives Kundenerlebnis gewährleistet.
- Die Kronenzeitung und die Kleine Zeitung haben einer (weiteren) Berichterstattung bereits zugesagt. Rund 15 kleinere VR-Netzwerke haben bereits (lange vor einer testbaren Version und somit fast wirkungslos) berichtet und werden ziemlich sicher wieder berichten.
</t>
        </r>
      </text>
    </comment>
    <comment ref="C6" authorId="0">
      <text>
        <r>
          <rPr>
            <b/>
            <sz val="9"/>
            <color indexed="81"/>
            <rFont val="Tahoma"/>
            <family val="2"/>
          </rPr>
          <t>Michael Schöggl:</t>
        </r>
        <r>
          <rPr>
            <sz val="9"/>
            <color indexed="81"/>
            <rFont val="Tahoma"/>
            <family val="2"/>
          </rPr>
          <t xml:space="preserve">
</t>
        </r>
        <r>
          <rPr>
            <b/>
            <sz val="9"/>
            <color indexed="81"/>
            <rFont val="Tahoma"/>
            <family val="2"/>
          </rPr>
          <t>Um wieviel Prozent der aktuellen Userzahl steigen die neuen User durch Medienberichte pro Monat?</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eher werden Medien über uns berichten wollen. 
- Je mehr User wir haben, umso mehr Medien werden an unserer Medienschnittstelle interessiert sein (und berichten, um sie kostenlos verwenden zu können). 
- Folglich wird dieser Wert auch ohne Kosten für uns mit unserer User-Basis mit anwachsen. 
- 2 % Wachstum pro Monat bedeutet, dass durch die Berichterstattung der Medien unsere Userzahl pro Jahr um nicht ganz 25 % wächst. 
- Dieser Wert ist womöglich viel zu pessimistisch, da es viele Soziale Netzwerke, Spiele oder Trends gibt, die innerhalb kürzester Zeit (nachdem die Medien über sie berichten) "explodieren" (d.h. mehrere hundert bis tausend Prozent Wachstum pro Jahr, bis sie eine gewisse Größe erreicht haben und es keine Zielgruppe mehr für sie gibt). Siehe z.B. Pokemon Go. 
- Im Gegensatz zu anderen Netzwerken bieten wir den Medien für ihre Berichterstattung eine Gegenleistung durch unsere Medienschnittstelle und lassen sie an unserem Erfolg teilhaben.</t>
        </r>
      </text>
    </comment>
    <comment ref="A7" authorId="1">
      <text>
        <r>
          <rPr>
            <b/>
            <sz val="9"/>
            <color indexed="81"/>
            <rFont val="Tahoma"/>
            <family val="2"/>
          </rPr>
          <t xml:space="preserve">e.com:
</t>
        </r>
        <r>
          <rPr>
            <sz val="9"/>
            <color indexed="81"/>
            <rFont val="Tahoma"/>
            <family val="2"/>
          </rPr>
          <t xml:space="preserve">
- Ab 2021 sollten wir genügend User haben, um für Product Placement Partner, Medien-Partner, Online-Shops und Drittanbieter interessant genug zu sein. 
- Ab diesem Zeitpunkt werden diese Anbieter auf ihre eigenen Leistungen in connect hinweisen und dadurch indirekt für uns Werbung machen. Primär gilt dies natürlich für Drittanbieter und verknüpfte Online-Shops, Medien-Berichterstattung wird unter 1.3 extra angeführt und Product Placement Partner werden weniger aktiv sein.</t>
        </r>
      </text>
    </comment>
    <comment ref="B7" authorId="0">
      <text>
        <r>
          <rPr>
            <b/>
            <sz val="9"/>
            <color indexed="81"/>
            <rFont val="Tahoma"/>
            <family val="2"/>
          </rPr>
          <t>Michael Schöggl:</t>
        </r>
        <r>
          <rPr>
            <sz val="9"/>
            <color indexed="81"/>
            <rFont val="Tahoma"/>
            <family val="2"/>
          </rPr>
          <t xml:space="preserve">
</t>
        </r>
        <r>
          <rPr>
            <b/>
            <sz val="9"/>
            <color indexed="81"/>
            <rFont val="Tahoma"/>
            <family val="2"/>
          </rPr>
          <t xml:space="preserve">Von wievielen neuen Usern durch die Werbung unserer Partner </t>
        </r>
        <r>
          <rPr>
            <sz val="9"/>
            <color indexed="81"/>
            <rFont val="Tahoma"/>
            <family val="2"/>
          </rPr>
          <t>(u.a. Online-Shopping, VR-Shops, Drittanbieter, etc.)</t>
        </r>
        <r>
          <rPr>
            <b/>
            <sz val="9"/>
            <color indexed="81"/>
            <rFont val="Tahoma"/>
            <family val="2"/>
          </rPr>
          <t xml:space="preserve"> gehen wir zu Beginn aus?</t>
        </r>
        <r>
          <rPr>
            <sz val="9"/>
            <color indexed="81"/>
            <rFont val="Tahoma"/>
            <family val="2"/>
          </rPr>
          <t xml:space="preserve"> (danach nur noch prozentuale Steigerung)
</t>
        </r>
        <r>
          <rPr>
            <u/>
            <sz val="9"/>
            <color indexed="81"/>
            <rFont val="Tahoma"/>
            <family val="2"/>
          </rPr>
          <t>Begründung für diesen Wert:</t>
        </r>
        <r>
          <rPr>
            <sz val="9"/>
            <color indexed="81"/>
            <rFont val="Tahoma"/>
            <family val="2"/>
          </rPr>
          <t xml:space="preserve">
- Im Gegenzug zu günstigeren Konditionen könnten unsere Partner indirekt für uns werben (z.B. indem sie darauf hinweisen, dass ihre Produkte auch in einem VR-Shop - erreichbar z.B. über connect - gekauft werden können). 
- Drittanbieter werden automatisch auf uns verweisen müssen, um ihre Inhalte verkaufen zu können. 
- Wenn connect erfolgreich wird, werden ähnlich wie bei anderen Netzwerken viele Unternehmen in ihrem Erfolg von uns abhängig - somit werden wir automatisch auch zum Thema von Gesprächen oder Öffentlichkeitsarbeit etc. gemacht.
- Wir rechnen ohnehin erst ab 2021 mit Partnern (auch wenn es bereits fast ein Dutzend konkrete Interessenten gibt), bis dahin ist ein Startwert von 100 sehr realistisch.
- Dieser Wert hast praktisch keine Bedeutung, die Steigerung basiert nur auf dem prozentualen Wert, dieser Wert fließt nur insofern ein, dass er jeden Monat als "Fixwert" miteinfließt.</t>
        </r>
      </text>
    </comment>
    <comment ref="C7" authorId="0">
      <text>
        <r>
          <rPr>
            <b/>
            <sz val="9"/>
            <color indexed="81"/>
            <rFont val="Tahoma"/>
            <family val="2"/>
          </rPr>
          <t xml:space="preserve">Michael Schöggl:
</t>
        </r>
        <r>
          <rPr>
            <sz val="9"/>
            <color indexed="81"/>
            <rFont val="Tahoma"/>
            <family val="2"/>
          </rPr>
          <t xml:space="preserve">
</t>
        </r>
        <r>
          <rPr>
            <b/>
            <sz val="9"/>
            <color indexed="81"/>
            <rFont val="Tahoma"/>
            <family val="2"/>
          </rPr>
          <t>Um wieviel Prozent der aktuellen Userzahl steigen die neuen User durch Medienberichte pro Monat?</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mehr Partner haben wir und umso stärker kommen wir automatisch ins Gespräch oder rücken in die Öffentlichkeit. 
- Vor allem Drittanbieter und VR-Shops sind von uns abhängig, wenn sie für die eigenen Angebote werben wollen, müssen sie indirekt auch für uns werben. Denn kaum ein User lädt eine eigene App herunter, um z.B. im VR-Shop eines regionalen Unternehmens (das er nicht einmal kennt) virtuell einkaufen gehen zu können.
- Ein Wachstum von 0,4 % pro Monat entspricht knapp 5 % Wachstum der gesamten Userzahl pro Jahr aufgrund der indirekten Werbung unserer Partner.
- Wenn Drittanbieter Inhalte anbieten (z.B. virtuelle Haustiere oder alternative VR-Szenen wie das Piratenschiff aus Fluch der Karibik), die sich nur in Verbindung mit connect verwenden lassen (was wir durch Exklusiv-Verträge steigern können), dann muss sich jeder, der diese Inhalte will, zuvor connect holen.</t>
        </r>
      </text>
    </comment>
    <comment ref="A8"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Für eine realistische Einschätzung der Userzahlen-Entwicklung müssen wir von einer Sättigung der Zielgruppe ausgehen, bzw. von einer Zielgruppen-Obergrenze. </t>
        </r>
        <r>
          <rPr>
            <sz val="9"/>
            <color indexed="81"/>
            <rFont val="Tahoma"/>
            <family val="2"/>
          </rPr>
          <t xml:space="preserve">
</t>
        </r>
        <r>
          <rPr>
            <u/>
            <sz val="9"/>
            <color indexed="81"/>
            <rFont val="Tahoma"/>
            <family val="2"/>
          </rPr>
          <t>Wir verwenden 2 Werte</t>
        </r>
        <r>
          <rPr>
            <sz val="9"/>
            <color indexed="81"/>
            <rFont val="Tahoma"/>
            <family val="2"/>
          </rPr>
          <t xml:space="preserve">:
- maximale Zielgruppe bis Ende 2020: Primär VR-User (und Gamer für die 3D-Nutzung), weil sich unser Marketing auf diese Zielgruppe konzentriert; natürlich können wir aber auch darüber hinaus Menschen ansprechen.
- maximale Zielgruppe ab 2021: Alle Social Media bzw. Network und Messenger Nutzer, jedoch nur jene, für die connect - auch OHNE den virtuellen Raum - einen ausreichend großen Mehrwert bietet (Multi-Messenger, Datenschutz, Multimedia, Geräteunabhängigkeit, etc.), schließlich haben wir Konkurrenz und unser Produkt wird selbst dann, wenn wir alles individualisierbar machen und verschiedene Versionen rausbringen, niemals alle Menschen ansprechen können
</t>
        </r>
        <r>
          <rPr>
            <u/>
            <sz val="9"/>
            <color indexed="81"/>
            <rFont val="Tahoma"/>
            <family val="2"/>
          </rPr>
          <t>Erklärung zu den Auswirkungen dieser Werte</t>
        </r>
        <r>
          <rPr>
            <sz val="9"/>
            <color indexed="81"/>
            <rFont val="Tahoma"/>
            <family val="2"/>
          </rPr>
          <t xml:space="preserve">:
- Die Berechnung erfolgt so, dass je stärker sich unsere Userzahlen diesen Grenzwerten nähern, die Akquise neuer User umso unwahrscheinlicher wird.
- Bei 0 Usern und einer Grenze von 300, ist die Akquise-Rate bei 100%. 
- Bei 200 Usern und einer Grenze von 300, ist sie nur noch bei 0,33%.
- Alle Wachstumswerte (bis auf die negativen Absprünge, siehe 1.11) sind von diesem Multiplikator betroffen und sinken entsprechend der Annäherung zur Zielgruppen-Obergrenze immer stärker Richtung 0.
- Diese Berechnungen sind absichtlich sehr vorsichtig und limitierend. Eigentlich wächst der VR Markt laut Prognosen stark an und genau genommen könnten wir langfristig durchaus 2 Milliarden Menschen, bzw. bereits 2021 eine Zielgruppe abseits der VR-User erreichen. Aber unsere Werte sind zu gut um glaubwürdig zu sein, wenn sie nicht mit so einer Obergrenze gebremst werden, daher dieses Korrektiv.
</t>
        </r>
      </text>
    </comment>
    <comment ref="B8" authorId="0">
      <text>
        <r>
          <rPr>
            <b/>
            <sz val="9"/>
            <color indexed="81"/>
            <rFont val="Tahoma"/>
            <family val="2"/>
          </rPr>
          <t xml:space="preserve">Michael Schöggl:
Wie groß ist unsere </t>
        </r>
        <r>
          <rPr>
            <b/>
            <i/>
            <sz val="9"/>
            <color indexed="81"/>
            <rFont val="Tahoma"/>
            <family val="2"/>
          </rPr>
          <t>primäre</t>
        </r>
        <r>
          <rPr>
            <b/>
            <sz val="9"/>
            <color indexed="81"/>
            <rFont val="Tahoma"/>
            <family val="2"/>
          </rPr>
          <t xml:space="preserve"> Zielgruppe, die wir bis Ende 2020 erreichen können? - </t>
        </r>
        <r>
          <rPr>
            <b/>
            <u/>
            <sz val="9"/>
            <color indexed="81"/>
            <rFont val="Tahoma"/>
            <family val="2"/>
          </rPr>
          <t>Bezogen auf Werbezugänge und Medienberichte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Zu Beginn Fokus auf VR-User, weil wir diesen den größten Mehrwert bieten und Gamer eine sehr dankbare, zahlkräftige Zielgruppe sind. 2019 sind das mindestens 10 Millionen User weltweit, die wir über unsere aktuell unterstützten Geräte (Android, HTC Vive, Oculus) und Plattformen (Play Store und Steam) erreichen können.
- Bis Mitte 2020: Fertigstellung der "connect Basic"-Version, d.h. einer nativen Android und iOS Version von connect, die dieselben Funktionen umfasst, aber in einem simplen 2D-Design (vlg. WhatsApp und Co). Diese Version unterstützt dann wirklich alle Smartphones und läuft genauso schnell, wie WhatsApp und Co, mit Fokus auf Multi-Messenger, Multimedia und Verschlüsselung zielt sie auf den konservativeren, weniger verspielten Massenmarkt ab, bis VR sich endgültig durchgesetzt hat.
- Bis Mitte 2020: Fertigstellung der PlayStation-Version und der iOS-Version.
- Bis Ende 2020: Fertigstellung des Multi-Messengers für alle Geräte (inklusive PlayStation und iOS) und alle größeren Netzwerke (u.a. zusätzlich WhatsApp, WeChat, Snapchat, Skype, Twitter, Instagram etc.). 
- Ab 2021 Fokus auf neue Zielgruppe: alle Social Network / Messenger-User weltweit; bis dahin haben wir genug Funktionen (z.B. Multi-Messenger) und Inhalte (z.B. Medien-Inhalte der Partner) um auch den Massenmarkt anzusprechen. Unsere bisherigen VR-/3D-User werden als treue Fans zu Mundpropaganda motiviert (siehe 1.7 bis 1.9).
</t>
        </r>
      </text>
    </comment>
    <comment ref="C8" authorId="0">
      <text>
        <r>
          <rPr>
            <b/>
            <sz val="9"/>
            <color indexed="81"/>
            <rFont val="Tahoma"/>
            <family val="2"/>
          </rPr>
          <t>Michael Schöggl:</t>
        </r>
        <r>
          <rPr>
            <sz val="9"/>
            <color indexed="81"/>
            <rFont val="Tahoma"/>
            <family val="2"/>
          </rPr>
          <t xml:space="preserve">
</t>
        </r>
        <r>
          <rPr>
            <b/>
            <sz val="9"/>
            <color indexed="81"/>
            <rFont val="Tahoma"/>
            <family val="2"/>
          </rPr>
          <t xml:space="preserve">
Wie groß ist unsere </t>
        </r>
        <r>
          <rPr>
            <b/>
            <i/>
            <sz val="9"/>
            <color indexed="81"/>
            <rFont val="Tahoma"/>
            <family val="2"/>
          </rPr>
          <t>primäre</t>
        </r>
        <r>
          <rPr>
            <b/>
            <sz val="9"/>
            <color indexed="81"/>
            <rFont val="Tahoma"/>
            <family val="2"/>
          </rPr>
          <t xml:space="preserve"> Zielgruppe, die wir ab 2020 erreichen können? - </t>
        </r>
        <r>
          <rPr>
            <b/>
            <u/>
            <sz val="9"/>
            <color indexed="81"/>
            <rFont val="Tahoma"/>
            <family val="2"/>
          </rPr>
          <t>Bezogen auf Werbezugänge und Medienberichte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Das internationale Interesse an Social Networks, Social Media, Messenger, VR, neuen Technologien und Apps ist sehr groß, gerade auch was Medienberichte oder die organische Suche im App-Store etc. betrifft. Daher sollte hier genügend "Luft nach oben" für unsere Werbezugänge 1.1 bis 1.4 sein. 
- Wir können langfristig fast allen Medien (Video, Audio, Print, Internet, VR - für praktisch jedes Thema) durch unseren VR-Zugang - bzw. die klassische 2D-Anzeige in einer Multimedia-App - etwas bieten und sie daher auch zur Berichterstattung motivieren.
- Trotzdem werden die Werte realistischer, wenn wir eine Obergrenze von rund 300 Millionen festlegen, da dies ungefähr die Anzahl der Menschen ist, denen connect einen ausreichend großen Mehrwert bietet und die wir mit unserem Design und unseren Funktionen ansprechen. 
- Diese "Bremse" ist aber eigentlich nicht notwendig, denn mit neuen Versionen (z.B. ohne 3D, als klassische 2D-Variante), mehr unterstützten Geräten, maximaler Individualisierbarkeit und zukünftigen, neuen, noch nicht beschriebenen Funktionen können wir unsere Zielgruppe bestimmt schneller weitern, als wir wachsen.</t>
        </r>
      </text>
    </comment>
    <comment ref="J8" authorId="0">
      <text>
        <r>
          <rPr>
            <b/>
            <sz val="9"/>
            <color indexed="81"/>
            <rFont val="Tahoma"/>
            <family val="2"/>
          </rPr>
          <t xml:space="preserve">Michael Schöggl:
</t>
        </r>
        <r>
          <rPr>
            <sz val="9"/>
            <color indexed="81"/>
            <rFont val="Tahoma"/>
            <family val="2"/>
          </rPr>
          <t xml:space="preserve">
Summe neue User durch 1.1 bis 1.4 </t>
        </r>
        <r>
          <rPr>
            <u/>
            <sz val="9"/>
            <color indexed="81"/>
            <rFont val="Tahoma"/>
            <family val="2"/>
          </rPr>
          <t>pro Jahr</t>
        </r>
        <r>
          <rPr>
            <sz val="9"/>
            <color indexed="81"/>
            <rFont val="Tahoma"/>
            <family val="2"/>
          </rPr>
          <t>. Die Werte links davon sind pro Monat und nicht pro Quartal, das hier ist also nicht die Summe der Werte links, sondern das Jahresergebnis.</t>
        </r>
      </text>
    </comment>
    <comment ref="A9" authorId="1">
      <text>
        <r>
          <rPr>
            <b/>
            <sz val="9"/>
            <color indexed="81"/>
            <rFont val="Tahoma"/>
            <family val="2"/>
          </rPr>
          <t xml:space="preserve">e.com:
</t>
        </r>
        <r>
          <rPr>
            <sz val="9"/>
            <color indexed="81"/>
            <rFont val="Tahoma"/>
            <family val="2"/>
          </rPr>
          <t xml:space="preserve">
- Ab Mitte 2020 - wenn connect fertiggestellt ist und seinen versprochenen Mehrwert als geräteunabhängiger Multimessenger, als Multimedia-Zentrum und als VR- bzw. Spiel-Erlebnis beweist - wird auch die Mundpropaganda stark ansteigen. 
- Zu diesem Zeitpunkt wird VR auch ein Trend mit steigendem medialen Interesse sein (u.a. wegen der Offensiven vieler großer Unternehmen und Steven Spielbergs Verfilmung von Ready Player One - das wie eine Vorwegnahme von connect wirkt), was uns in die Hände spielt. 
- Wir rechnen damit, dass jeder User im Laufe eines Jahres im Schnitt genügend anderen Menschen von connect erzählt hat (die Gelegenheit ergibt sich bei Messengern / Social Networks deutlich öfter, als z.B. bei Medikamenten), dass ein weiterer User dadurch gewonnen werden kann. 
- Das ist eine sehr vorsichtige Schätzung. Viele erste VR-User werden Freunden diese neue virtuelle Welt mit Start in connect zeigen (u.a. weil wir eine sehr beeindruckende Grafik und viel Interaktivität und Invididualisierbarkeit haben und jeder gerne zeigt, was er sich "Besonderes" zusammengebaut bzw. erworben hat (z.B. sehr seltene virtuelle Haustiere mit besonderen Kunststücken)).
- Auch der Vergleich mit anderen innovativen Netzwerken wie z.B. Facebook, Twitter oder Instagram zeigt, dass allein durch Mundpropaganda ein Netzwerk auch viel schneller wachsen kann, als in unserer Schätzung. Facebook und Co haben in den ersten Jahren ihre Userzahlen verfünffacht (hier wurden die Absprünge bereits abgezogen) - davon sind unsere Schätzwerte fast um den Faktor 10 entfernt.
- connect ist sehr visuell, lässt sich großartig präsentieren, ist ein Trend-Thema, ein Thema, das fast jeden Menschen betrifft oder zumindest Gesprächsstoff gibt (wenngleich auch negativ, um über diese virtuelle Welten zu schimpfen). 
- Wir werden alles tun, um Usern gute Gründe zu geben, connect herzuzeigen, das ist einer der wichtigsten Foki unserer Entwicklung und dieser zeigt sich auch in den nachfolgenden "Marketing-Tricks", mit denen wir die Mundpropaganda nochmals gezielt anheizen und belohnen können (siehe 1.6 bis 1.9 - als Beispiele). </t>
        </r>
      </text>
    </comment>
    <comment ref="B9" authorId="0">
      <text>
        <r>
          <rPr>
            <b/>
            <sz val="9"/>
            <color indexed="81"/>
            <rFont val="Tahoma"/>
            <family val="2"/>
          </rPr>
          <t>Michael Schöggl:</t>
        </r>
        <r>
          <rPr>
            <sz val="9"/>
            <color indexed="81"/>
            <rFont val="Tahoma"/>
            <family val="2"/>
          </rPr>
          <t xml:space="preserve">
</t>
        </r>
        <r>
          <rPr>
            <b/>
            <sz val="9"/>
            <color indexed="81"/>
            <rFont val="Tahoma"/>
            <family val="2"/>
          </rPr>
          <t>Um wieviel Prozent pro Monat wächst unsere Userzahl allein durch Mundpropaganda?</t>
        </r>
        <r>
          <rPr>
            <sz val="9"/>
            <color indexed="81"/>
            <rFont val="Tahoma"/>
            <family val="2"/>
          </rPr>
          <t xml:space="preserve">
</t>
        </r>
        <r>
          <rPr>
            <u/>
            <sz val="9"/>
            <color indexed="81"/>
            <rFont val="Tahoma"/>
            <family val="2"/>
          </rPr>
          <t>Begründung für diesen Wert:</t>
        </r>
        <r>
          <rPr>
            <sz val="9"/>
            <color indexed="81"/>
            <rFont val="Tahoma"/>
            <family val="2"/>
          </rPr>
          <t xml:space="preserve">
- connect spricht eine sehr breite Zielgruppe an, weil es jedes Gerät unterstützt, in 2D, 3D oder VR verwendbar ist und klassische menschliche Grundbedürfnisse (Erhöhung des Sozialstatus, Unterhaltung, Kommunikation, Anerkennung, Aufmerksamkeit, Kontrolle, Sicherheit etc.) befriedigt. Darauf liegt unser Fokus, siehe Businessplan. 
- connect ist neuartig und technisch modern genug, um ein spannendes Thema im Freundeskreis zu sein. Es hebt sich komplett von anderen Netzwerken ab und Menschen zeigen gerne Neuheiten her, anstatt bereits bekannte oder vertraute Dinge.
- Das Interesse an VR wird in den nächsten Monaten mit immer besserer Hardware weiter zunehmen, wir wachsen hier mit. Der gedankliche und damit auch sprachliche Sprung von VR zum virtuellen Zuhause ist nicht weit, zumal wir auch ein Netzwerk für alle VR-Inhalte aufbauen wollen.
- Ein virtuelles Zuhause, virtuelle Haustiere und ein möglichst realistisches VR-Erlebnis sind Themen, die viele Menschen bewegen.
- In connect baut sich der User seine eigene Welt auf und "investiert" in die Erhöhung seines Sozialstatus durch limitierte, besondere Inhalte. Diese will er seinen Freunden zeigen, er will damit angeben.
- Ein Wert von ca. 6 % würde bedeuten, dass im Laufe eines Jahres ein connect User einen weiteren Menschen durch Mundpropaganda für uns gewinnen konnte. Das ist sehr realistisch, weil unsere User viel Zeit in connect verbringen werden (für Spiele, virtuelle Haustiere, Kommunikation, Multimedia und VR-Erlebnisse). Je bedeutsamer connect für die User wird (durch z.B. exklusive Inhalte), umso mehr werden sie es anderen zeigen.</t>
        </r>
      </text>
    </comment>
    <comment ref="C9"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Prozent pro Quartal sinkt/steigt das monatliche Wachstum durch Mundpropaganda?</t>
        </r>
        <r>
          <rPr>
            <sz val="9"/>
            <color indexed="81"/>
            <rFont val="Tahoma"/>
            <family val="2"/>
          </rPr>
          <t xml:space="preserve">
</t>
        </r>
        <r>
          <rPr>
            <u/>
            <sz val="9"/>
            <color indexed="81"/>
            <rFont val="Tahoma"/>
            <family val="2"/>
          </rPr>
          <t>Begründung für diesen Wert:</t>
        </r>
        <r>
          <rPr>
            <sz val="9"/>
            <color indexed="81"/>
            <rFont val="Tahoma"/>
            <family val="2"/>
          </rPr>
          <t xml:space="preserve">
- Umso mehr connect zu bieten hat, umso wahrscheinlicher werden unsere User es ihren Freunden zeigen - und viele besondere Funktionen (z.B. Zugang zu VR-Shops, Avatare, ganze VR-Welten, komplett neue Szenen, neue VR-Haustiere, etc.) werden erst nach und nach hinzukommen, u.a. durch Drittanbieter oder (Medien-)Partner.
- Je größer connect wird, umso "sicherer" fühlen sich Menschen darin, es anderen zu zeigen. Keiner will riskieren, etwas toll zu finden, was unbekannt ist und damit so wirkt, als würde es kaum jemandem gefallen (außer es ist offensichtlich ein Geheimtipp und noch ganz neu). 
- Viele Themen in connect - z.B. VR - sind Trends, die in den nächsten Monaten ansteigen werden.</t>
        </r>
      </text>
    </comment>
    <comment ref="A10" authorId="1">
      <text>
        <r>
          <rPr>
            <b/>
            <sz val="9"/>
            <color indexed="81"/>
            <rFont val="Tahoma"/>
            <family val="2"/>
          </rPr>
          <t xml:space="preserve">e.com
- </t>
        </r>
        <r>
          <rPr>
            <sz val="9"/>
            <color indexed="81"/>
            <rFont val="Tahoma"/>
            <family val="2"/>
          </rPr>
          <t xml:space="preserve">Von connect aus lassen sich bereits jetzt SMS und Faceboo-Nachrichten lesen und schreiben, Mails sind fast abgeschlossen, viele weitere, andere Netzwerke werden in rascher Abfolge (ca. ein Netzwerk pro Monat zu rund 10.000 Euro kosten) folgen. 
- Immer, wenn unsere User den Multimessenger verwenden, um Nachrichten zu schreiben oder Fotos, Videos, Sprachaufzeichnungen, eigenen connect-Sticker, connect-Emoties oder ähnliches in andere Netzwerke zu schicken, wird bei der ersten Nachricht der Anhang "send by connect" andere Menschen auf unser Netzwerk aufmerksam machen. 
- Unser User werden aber auch die geposteten Fotos ihrer Freunde an den Wänden ihres virtuellen Zuhause angezeigt bekommen, die Videos in einem eigenen "Freunde-Video-Kanal" am virtuellen Fernseher und ähnliches. Umgekehrt genauso - die Inhalte aus connect kann man allesamt in andere Netzwerke teilen, z.B. die Links zu Medieninhalten, Screenshots oder Videos (auch in 360 Grad), exklusive Inhalte (wie Haustiere, Spiele, Deko, alternative Szenen etc.). 
- Somit werden connect-fremde Menschen auf unser Netzwerk aufmerksam gemacht, ohne das dies Kosten verursachen würde. 
- Wir rechnen daher selbst bei vorsichtigster Schätzung, dass pro aktivem User im Laufe eines Jahres ein weiterer dazu kommt. Mit etwas "Glück" (richtiges Thema zum richtigen Zeitpunkt, etc.) könnte jeder User sogar hunderte Freunde auf connect aufmerksam machen, indem er ganz einfach connect-Inhalte (wie z.B. 360-Grad-Videos) z.B. auf Facebook teilt. 
- Punkt 1.6 beschreibt, dass wir dieses für uns nützliche Verhalten gezielt fördern und belohnen werden (z.B. durch Wettbewerbe), um diesen kostenlosen Zugang maximal auszunutzen. Wie schnell ein Thema viral werden kann und um die ganze Welt geht, haben genügend andere bewiesen - unser Ziel ist es, diese Mechanismen so gut wie möglich zu kopieren und automatisieren. 
- Der Multimessenger ist hierbei so nützlich, dass fast jeder User ihn immer wieder verwenden wird, selbst, wenn er ansonsten sich mit Postings etc. eher zurückhält. </t>
        </r>
      </text>
    </comment>
    <comment ref="B10" authorId="0">
      <text>
        <r>
          <rPr>
            <b/>
            <sz val="9"/>
            <color indexed="81"/>
            <rFont val="Tahoma"/>
            <family val="2"/>
          </rPr>
          <t>Michael Schöggl:</t>
        </r>
        <r>
          <rPr>
            <sz val="9"/>
            <color indexed="81"/>
            <rFont val="Tahoma"/>
            <family val="2"/>
          </rPr>
          <t xml:space="preserve">
</t>
        </r>
        <r>
          <rPr>
            <b/>
            <sz val="9"/>
            <color indexed="81"/>
            <rFont val="Tahoma"/>
            <family val="2"/>
          </rPr>
          <t>Um wieviel Prozent pro Monat steigt die Anzahl unserer User durch unseren Multimessenger-Anhang "sent by connect"?</t>
        </r>
        <r>
          <rPr>
            <sz val="9"/>
            <color indexed="81"/>
            <rFont val="Tahoma"/>
            <family val="2"/>
          </rPr>
          <t xml:space="preserve">
</t>
        </r>
        <r>
          <rPr>
            <u/>
            <sz val="9"/>
            <color indexed="81"/>
            <rFont val="Tahoma"/>
            <family val="2"/>
          </rPr>
          <t>Begründung für diesen Wert:</t>
        </r>
        <r>
          <rPr>
            <sz val="9"/>
            <color indexed="81"/>
            <rFont val="Tahoma"/>
            <family val="2"/>
          </rPr>
          <t xml:space="preserve">
- Dieser Zugang bezieht sich nicht nur auf den Text-Anhang "sent by connect" sondern ganz speziell auch darauf, dass unsere User z.B. connect-Inhalte wie dessen Sticker, Screenshots, Medien-Inhalte etc. in andere Netzwerke wie z.B. Facebook schicken können. Je "verknüpfter" connect ist, umso mehr Aufsehen wird jeder User automatisch in anderen Netzwerken durch die Verwendung erregen.
- Ein Wert von 8,4 % würde bedeuten, dass ein durchschnittlicher connect-User einen weiteren User pro Jahr anlockt, weil er hunderte Nicht-connect-Kontakte monatlich anschreibt (z.B. per Mail, SMS oder FB-Nachricht) und dabei einer neugierig genug wird, um connect selbst auszuprobieren (z.B. aufgrund der Info des connect-Users, dass er mit diesem Multi-Messenger Nachrichten in verschiedene Netzwerke schicken kann oder aufgrund der tollen Sticker, Screenshots (z.B. vom virtuellen Haustier) oder ähnliches).
- Die beste Werbung ist und bleibt persönliche Empfehlung und diese stoßen wir dadurch an, dass der Empfänger einer "sent by connect" Nachricht - vor allem, wenn er von verschiedenen Freunden über verschiedene Netzwerke solche Nachrichten bekommt - irgendwann nachfragen wird, worum es sich hierbei handelt. Und der Sender wird dann - um seinen Selbstwert zu wahren und seine Entscheidung zu rechtfertigen - auch connect positiv beschreiben und z.B. auf den Mehrwert des Multi-Messengers hinweisen. "Was du kennst connect nicht? Lebst du hinterm Mond?"</t>
        </r>
      </text>
    </comment>
    <comment ref="C10"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Prozent pro Quartal sinkt/steigt die monatliche Wachstumsrate von connect durch den Multi-Messenger-Anhang "sent by connect" oder die verschickten Inhalte?</t>
        </r>
        <r>
          <rPr>
            <sz val="9"/>
            <color indexed="81"/>
            <rFont val="Tahoma"/>
            <family val="2"/>
          </rPr>
          <t xml:space="preserve">
</t>
        </r>
        <r>
          <rPr>
            <u/>
            <sz val="9"/>
            <color indexed="81"/>
            <rFont val="Tahoma"/>
            <family val="2"/>
          </rPr>
          <t>Begründung für diesen Wert:</t>
        </r>
        <r>
          <rPr>
            <sz val="9"/>
            <color indexed="81"/>
            <rFont val="Tahoma"/>
            <family val="2"/>
          </rPr>
          <t xml:space="preserve">
- Wenn ein User regelmäßig durch die Nachrichten seiner Freunde auf connect aufmerksam gemacht wird, dann kennt er diesen Anhang bereits und somit auch connect. Je später dieser Werbezugang kommt, umso wahrscheinlicher hat der Empfänger bereits Bekanntschaft gemacht und einfach kein Interesse an connect - weshalb dieser Wert negativ ist, der Werbeeffekt also nachlässt. 
- Gegenzurechnen ist, dass unser Multi-Messenger immer mehr andere Netzwerke integrieren wird und damit auch Menschen aus neuen Netzwerken erreicht. Außerdem werden unsere User immer mehr Inhalte über den Multi-Messenger in andere Netzwerke schicken können. Trotzdem: Vorsichtig gedacht wird der Effekt eher rückläufig sein, als anzuwachsen. </t>
        </r>
      </text>
    </comment>
    <comment ref="A11" authorId="1">
      <text>
        <r>
          <rPr>
            <b/>
            <sz val="9"/>
            <color indexed="81"/>
            <rFont val="Tahoma"/>
            <family val="2"/>
          </rPr>
          <t xml:space="preserve">e.com:
</t>
        </r>
        <r>
          <rPr>
            <sz val="9"/>
            <color indexed="81"/>
            <rFont val="Tahoma"/>
            <family val="2"/>
          </rPr>
          <t xml:space="preserve">
- Das Bedürfnis vieler Menschen etwas besonderes zu besitzen oder (virtuelle) Erfolge (z.B. in Spielen) zu erzielen, bzw. ihren Status durch limitierte Besitztümer zu erhöhen, ist - wie Vergleiche mit der ganzen Spielebranche zeigen - gewaltig. 
- Auch innerhalb der connect-User wird es einen großen Anteil jener Nutzer geben, die sich durch limitierte Belohnungen mit Prestige-Wert (z.B. Pokale mit Namensgravur, extrem seltene virtuelle Haustiere, die sich verkaufen, züchten oder tauschen lassen, alternative virtuelle Wohnräume wie das Oval Office oder besondere Deko-Objekte, etc.) dazu motivieren lassen werden, im Zuge eines Wettbewerbs, einer "täglichen Quest", eines "Erfolges", etc. Verhalten zu zeigen, das uns bekannter macht. 
- Bei einem Wettbewerb könnten z.B. die besten 360-Grad-Videos aus dem virtuellen Zuhause (meiste Likes auf FB), die ausgefallenste Individualisierung (z.B. mit eigenen Fotos als Textur, wodurch man z.B. den Boden mit den Gesichtern der Freunde zupflastern kann) oder sogar selbst erstellte neue und öffentlich geteilte Inhalte wie Schriftarten, Klingeltöne, künstlerische Bilder für die virtuelle Wand, Haustier-Fell-Skins oder ähnliches mit Titeln, virtuellen Belohnungen oder "Adjektiven" honoriert werden. 
- Wir bauen dadurch eine Online-Community auf, die auf connect aufmerksam macht, z.B. ganz direkt durch tausende YouTube-Videos. Kürzlich hat ein indonesischer Sänger bei einem Wettbewerb für die 3 besten Cover-Songs innerhalb einer Woche einen Gewinn von 7000 Euro versprochen - und nur wenige Tage später gab es mehrere tausend Covers von ihm. Unsere Belohnungen werden durch die Rarität für manche User einen enormen Wert haben, ohne für uns relevante Kosten dazustellen. </t>
        </r>
      </text>
    </comment>
    <comment ref="A12" authorId="1">
      <text>
        <r>
          <rPr>
            <b/>
            <sz val="9"/>
            <color indexed="81"/>
            <rFont val="Tahoma"/>
            <family val="2"/>
          </rPr>
          <t xml:space="preserve">e.com:
</t>
        </r>
        <r>
          <rPr>
            <sz val="9"/>
            <color indexed="81"/>
            <rFont val="Tahoma"/>
            <family val="2"/>
          </rPr>
          <t xml:space="preserve">
- Wir werden ganz direkt das Teilen unserer Werbevideos auf Facebook und Co, sowie das Werben von Freunden mit stark limitierten virtuellen Besitztümern belohnen. 
- Diese sind nur eine bestimmte Zeit lang verfügbar (z.B. einen Monat), danach gibt es eine neue Belohnung, um denselben User zu motivieren, einen weiteren Freund anzuwerben. 
- Diese Belohnungen sind tauschbar, verkaufbar und könnten auch "sammelbare" Sets bilden (z.B. das Haustier "Eulenbaby" in den verschiedensten Farben/Fellen, damit der Aufwand für uns minimal ist). 
- Jede zu offensichtliche oder offensive Werbung kann sich auch negativ auf das Image auswirken, daher ist dieser Zugang nur eine weitere Möglichkeit, wenn die anderen Wege nicht erfolgreich genug sein sollten. </t>
        </r>
      </text>
    </comment>
    <comment ref="A13" authorId="1">
      <text>
        <r>
          <rPr>
            <b/>
            <sz val="9"/>
            <color indexed="81"/>
            <rFont val="Tahoma"/>
            <family val="2"/>
          </rPr>
          <t xml:space="preserve">e.com:
</t>
        </r>
        <r>
          <rPr>
            <sz val="9"/>
            <color indexed="81"/>
            <rFont val="Tahoma"/>
            <family val="2"/>
          </rPr>
          <t xml:space="preserve">
- Wir haben ganz bewusst viele Inhalte in connect geschaffen, die dafür sorgen, dass unsere User in der Öffentlichkeit auffallen werden.
- U.a. sind das realistische Klingeltöne (Münze fällt, Dose öffnen, Schluckauf, Gelsensurren, etc.), die z.B. auf öffentlichen Plätzen oder in den öffentlichen Verkehrsmitteln Aufmerksamkeit erregen. 
- Auch praktisch fertiggestellt ist ein versteckter, virtueller Tresor, der sich durch das Drehen des Smartphones (= Drehen des Drehknaufs) nach vielen Stunden knacken lässt. Manche unserer User werden öffentlich auffallen, gefragt werden und dann (stolz) connect präsentieren. 
- Dieser Zugang kostet uns ebenso wie die bisherigen nur Entwicklungsaufwand und kann mit der Userbasis gewaltig skalieren und schnell für mehr Sichtbarkeit sorgen.
- Es gibt noch rund 5 weitere Tricks, die nun nicht alle aufgezählt werden sollen. 
- Wir wollen es so schwer wie möglich machen, connect zu nutzen, ohne dass regelmäßig andere Menschen darauf aufmerksam werden.
- Fast alle dieser Tricks und Zugänge sowie der Belohnungen sind bereits fertig oder kurz vor Fertigstellung, ihr Effekt wird uns aber kontinuierlich neue User ohne weitere Kosten bringen.</t>
        </r>
      </text>
    </comment>
    <comment ref="A14" authorId="0">
      <text>
        <r>
          <rPr>
            <b/>
            <sz val="9"/>
            <color indexed="81"/>
            <rFont val="Tahoma"/>
            <family val="2"/>
          </rPr>
          <t xml:space="preserve">Michael Schöggl:
</t>
        </r>
        <r>
          <rPr>
            <sz val="9"/>
            <color indexed="81"/>
            <rFont val="Tahoma"/>
            <family val="2"/>
          </rPr>
          <t xml:space="preserve">
</t>
        </r>
        <r>
          <rPr>
            <b/>
            <sz val="9"/>
            <color indexed="81"/>
            <rFont val="Tahoma"/>
            <family val="2"/>
          </rPr>
          <t>Für eine realistische Einschätzung der Userzahlen-Entwicklung müssen wir von einer Sättigung der Zielgruppe ausgehen, bzw. von einer Zielgruppen-Obergrenze</t>
        </r>
        <r>
          <rPr>
            <sz val="9"/>
            <color indexed="81"/>
            <rFont val="Tahoma"/>
            <family val="2"/>
          </rPr>
          <t xml:space="preserve">. 
</t>
        </r>
        <r>
          <rPr>
            <b/>
            <sz val="9"/>
            <color indexed="81"/>
            <rFont val="Tahoma"/>
            <family val="2"/>
          </rPr>
          <t>Wir verwenden 2 Werte:</t>
        </r>
        <r>
          <rPr>
            <sz val="9"/>
            <color indexed="81"/>
            <rFont val="Tahoma"/>
            <family val="2"/>
          </rPr>
          <t xml:space="preserve">
- </t>
        </r>
        <r>
          <rPr>
            <u/>
            <sz val="9"/>
            <color indexed="81"/>
            <rFont val="Tahoma"/>
            <family val="2"/>
          </rPr>
          <t>maximale Zielgruppe bis Ende 2020</t>
        </r>
        <r>
          <rPr>
            <sz val="9"/>
            <color indexed="81"/>
            <rFont val="Tahoma"/>
            <family val="2"/>
          </rPr>
          <t xml:space="preserve">: Primär VR-User (und Gamer für die 3D-Nutzung), weil sich unser Marketing auf diese Zielgruppe konzentriert; natürlich können wir aber auch darüber hinaus Menschen ansprechen.
- </t>
        </r>
        <r>
          <rPr>
            <u/>
            <sz val="9"/>
            <color indexed="81"/>
            <rFont val="Tahoma"/>
            <family val="2"/>
          </rPr>
          <t>maximale Zielgruppe ab 2021</t>
        </r>
        <r>
          <rPr>
            <sz val="9"/>
            <color indexed="81"/>
            <rFont val="Tahoma"/>
            <family val="2"/>
          </rPr>
          <t xml:space="preserve">: Alle Social Media bzw. Network und Messenger Nutzer, jedoch nur jene, für die connect - auch OHNE den virtuellen Raum - einen ausreichend großen Mehrwert bietet (Multi-Messenger, Datenschutz, Multimedia, Geräteunabhängigkeit, etc.), schließlich haben wir Konkurrenz und unser Produkt wird selbst dann, wenn wir alles individualisierbar machen und verschiedene Versionen rausbringen, niemals alle Menschen ansprechen können
</t>
        </r>
        <r>
          <rPr>
            <b/>
            <sz val="9"/>
            <color indexed="81"/>
            <rFont val="Tahoma"/>
            <family val="2"/>
          </rPr>
          <t>Erklärung zu den Auswirkungen dieser Werte:</t>
        </r>
        <r>
          <rPr>
            <sz val="9"/>
            <color indexed="81"/>
            <rFont val="Tahoma"/>
            <family val="2"/>
          </rPr>
          <t xml:space="preserve">
- Die Berechnung erfolgt so, dass je stärker sich unsere Userzahlen diesen Grenzwerten nähern, die Akquise neuer User umso unwahrscheinlicher wird.
- Bei 0 Usern und einer Grenze von 300, ist die Akquise-Rate bei 100%. 
- Bei 200 Usern und einer Grenze von 300, ist sie nur noch bei 0,33%.
- Alle Wachstumswerte (bis auf die negativen Absprünge, siehe 1.11) sind von diesem Multiplikator betroffen und sinken entsprechend der Annäherung zur Zielgruppen-Obergrenze immer stärker Richtung 0.</t>
        </r>
      </text>
    </comment>
    <comment ref="B14" authorId="0">
      <text>
        <r>
          <rPr>
            <b/>
            <sz val="9"/>
            <color indexed="81"/>
            <rFont val="Tahoma"/>
            <family val="2"/>
          </rPr>
          <t xml:space="preserve">Michael Schöggl:
Wie groß ist unsere </t>
        </r>
        <r>
          <rPr>
            <b/>
            <i/>
            <sz val="9"/>
            <color indexed="81"/>
            <rFont val="Tahoma"/>
            <family val="2"/>
          </rPr>
          <t>primäre</t>
        </r>
        <r>
          <rPr>
            <b/>
            <sz val="9"/>
            <color indexed="81"/>
            <rFont val="Tahoma"/>
            <family val="2"/>
          </rPr>
          <t xml:space="preserve"> Zielgruppe, die wir bis Ende 2020 erreichen können? - </t>
        </r>
        <r>
          <rPr>
            <b/>
            <u/>
            <sz val="9"/>
            <color indexed="81"/>
            <rFont val="Tahoma"/>
            <family val="2"/>
          </rPr>
          <t>Bezogen auf Viral-Marketing-Zugänge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Zu Beginn Fokus auf VR-User, weil wir diesen den größten Mehrwert bieten und Gamer eine sehr dankbare, zahlkräftige Zielgruppe sind. 2019 sind das mindestens 10 Millionen User weltweit, die wir über unsere aktuell unterstützten Geräte (Android, HTC Vive, Oculus) und Plattformen (Play Store und Steam) erreichen können.
- Bis Mitte 2020: Fertigstellung der "connect Basic"-Version, d.h. einer nativen Android und iOS Version von connect, die dieselben Funktionen umfasst, aber in einem simplen 2D-Design (vlg. WhatsApp und Co). Diese Version unterstützt dann wirklich alle Smartphones und läuft genauso schnell, wie WhatsApp und Co, mit Fokus auf Multi-Messenger, Multimedia und Verschlüsselung zielt sie auf den konservativeren, weniger verspielten Massenmarkt ab, bis VR sich endgültig durchgesetzt hat.
- Bis Mitte 2020: Fertigstellung der PlayStation-Version und der iOS-Version.
- Bis Ende 2020: Fertigstellung des Multi-Messengers für alle Geräte (inklusive PlayStation und iOS) und alle größeren Netzwerke (u.a. zusätzlich WhatsApp, WeChat, Snapchat, Skype, Twitter, Instagram etc.). 
- Ab 2021 Fokus auf neue Zielgruppe: alle Social Network / Messenger-User weltweit; bis dahin haben wir genug Funktionen (z.B. Multi-Messenger) und Inhalte (z.B. Medien-Inhalte der Partner) um auch den Massenmarkt anzusprechen. Unsere bisherigen VR-/3D-User werden als treue Fans zu Mundpropaganda motiviert (siehe 1.7 bis 1.9).
</t>
        </r>
      </text>
    </comment>
    <comment ref="C14" authorId="0">
      <text>
        <r>
          <rPr>
            <b/>
            <sz val="9"/>
            <color indexed="81"/>
            <rFont val="Tahoma"/>
            <family val="2"/>
          </rPr>
          <t>Michael Schöggl:</t>
        </r>
        <r>
          <rPr>
            <sz val="9"/>
            <color indexed="81"/>
            <rFont val="Tahoma"/>
            <family val="2"/>
          </rPr>
          <t xml:space="preserve">
</t>
        </r>
        <r>
          <rPr>
            <b/>
            <sz val="9"/>
            <color indexed="81"/>
            <rFont val="Tahoma"/>
            <family val="2"/>
          </rPr>
          <t xml:space="preserve">
Wie groß ist unsere </t>
        </r>
        <r>
          <rPr>
            <b/>
            <i/>
            <sz val="9"/>
            <color indexed="81"/>
            <rFont val="Tahoma"/>
            <family val="2"/>
          </rPr>
          <t>primäre</t>
        </r>
        <r>
          <rPr>
            <b/>
            <sz val="9"/>
            <color indexed="81"/>
            <rFont val="Tahoma"/>
            <family val="2"/>
          </rPr>
          <t xml:space="preserve"> Zielgruppe (Multi-Messenger, Social Network, Multimedia), die wir ab 2020 erreichen können? - </t>
        </r>
        <r>
          <rPr>
            <b/>
            <u/>
            <sz val="9"/>
            <color indexed="81"/>
            <rFont val="Tahoma"/>
            <family val="2"/>
          </rPr>
          <t>Bezogen auf Viral-Marketing-Zugänge</t>
        </r>
        <r>
          <rPr>
            <b/>
            <sz val="9"/>
            <color indexed="81"/>
            <rFont val="Tahoma"/>
            <family val="2"/>
          </rPr>
          <t xml:space="preserve">
</t>
        </r>
        <r>
          <rPr>
            <u/>
            <sz val="9"/>
            <color indexed="81"/>
            <rFont val="Tahoma"/>
            <family val="2"/>
          </rPr>
          <t>Begründung für diesen Wert</t>
        </r>
        <r>
          <rPr>
            <sz val="9"/>
            <color indexed="81"/>
            <rFont val="Tahoma"/>
            <family val="2"/>
          </rPr>
          <t>: 
- Siehe Kommentar zur Spalte links: Ab 2021 umfasst connect genügend Inhalte, Medien, Funktionen und Geräte-Unterstützungen, sowie eine simple connect Basic Version ohne 3D/VR, um praktisch alle Social Network / Media bzw. Messenger User weltweit anzusprechen.
- Viele User verwenden mehrere Social Networks oder Messenger parallel zueinander, zudem bietet gerade connect mit dem Multi-Messenger den Vorteil, aus einer App heraus alle anderen Netzwerke verwenden/verwalten zu können. Darum gehen wir von einem weltweiten Markt von mindestens 300 Mio Menschen aus, unanhängig davon, wie erfolgreich oder aktiv die Konkurrenz wie z.B. Facebook ist. 
- Gewissermaßen profitieren wir aufgrund unseres Multi-Messengers sogar von mehr Wettbewerbern bzw. dem Erfolg anderer Messenger und Netzwerke - weil dadurch der Wert von unserer Verschlüsselung / Datenschutz und von unserem Multi-Messenger steigt, schließlich nimmt er "Arbeit" ab, all diese Netzwerke (mit unterschiedlichen Apps und unterschiedlichen Geräteabhängigkeiten) zu betreuen.</t>
        </r>
      </text>
    </comment>
    <comment ref="J14" authorId="0">
      <text>
        <r>
          <rPr>
            <b/>
            <sz val="9"/>
            <color indexed="81"/>
            <rFont val="Tahoma"/>
            <family val="2"/>
          </rPr>
          <t>Michael Schöggl:</t>
        </r>
        <r>
          <rPr>
            <sz val="9"/>
            <color indexed="81"/>
            <rFont val="Tahoma"/>
            <family val="2"/>
          </rPr>
          <t xml:space="preserve">
</t>
        </r>
        <r>
          <rPr>
            <b/>
            <sz val="9"/>
            <color indexed="81"/>
            <rFont val="Tahoma"/>
            <family val="2"/>
          </rPr>
          <t>Summe der monatlichen Steigerungsraten für das gesamte Jahr.</t>
        </r>
        <r>
          <rPr>
            <sz val="9"/>
            <color indexed="81"/>
            <rFont val="Tahoma"/>
            <family val="2"/>
          </rPr>
          <t xml:space="preserve"> 
- Die Werte links davon sind pro Monat und nicht pro Quartal, das hier ist also nicht die Summe der Werte links, sondern das Jahresergebnis.
- Diese Werte sind mit Vorsicht zu genießen, die eigentliche Steigerungsrate pro Jahr ist eine andere, als die einfache Summe der monatlichen Steigerungen.</t>
        </r>
      </text>
    </comment>
    <comment ref="A15" authorId="0">
      <text>
        <r>
          <rPr>
            <b/>
            <sz val="9"/>
            <color indexed="81"/>
            <rFont val="Tahoma"/>
            <family val="2"/>
          </rPr>
          <t>Michael Schöggl:</t>
        </r>
        <r>
          <rPr>
            <sz val="9"/>
            <color indexed="81"/>
            <rFont val="Tahoma"/>
            <family val="2"/>
          </rPr>
          <t xml:space="preserve">
Prozentsatz aller bisherigen User, die innerhalb von diesem einen Monat connect für immer verlassen und daher dauerhaft verloren gehen.
</t>
        </r>
        <r>
          <rPr>
            <u/>
            <sz val="9"/>
            <color indexed="81"/>
            <rFont val="Tahoma"/>
            <family val="2"/>
          </rPr>
          <t>Achtung</t>
        </r>
        <r>
          <rPr>
            <sz val="9"/>
            <color indexed="81"/>
            <rFont val="Tahoma"/>
            <family val="2"/>
          </rPr>
          <t>: Diesen Wert nicht zu hoch einschätzen, weil er sich auf jeden einzelnen Monat bezieht und sich schnell kummuliert. Bei einem Wert von 0,1 würden im Laufe eines Jahres z.B. 72% aller User wieder verloren sein (0,9 hoch 12).</t>
        </r>
      </text>
    </comment>
    <comment ref="B15" authorId="0">
      <text>
        <r>
          <rPr>
            <b/>
            <sz val="9"/>
            <color indexed="81"/>
            <rFont val="Tahoma"/>
            <family val="2"/>
          </rPr>
          <t>Michael Schöggl:</t>
        </r>
        <r>
          <rPr>
            <sz val="9"/>
            <color indexed="81"/>
            <rFont val="Tahoma"/>
            <family val="2"/>
          </rPr>
          <t xml:space="preserve">
</t>
        </r>
        <r>
          <rPr>
            <b/>
            <sz val="9"/>
            <color indexed="81"/>
            <rFont val="Tahoma"/>
            <family val="2"/>
          </rPr>
          <t xml:space="preserve">Wieviel Prozent aller bisherigen User verlassen uns pro Monat? </t>
        </r>
        <r>
          <rPr>
            <sz val="9"/>
            <color indexed="81"/>
            <rFont val="Tahoma"/>
            <family val="2"/>
          </rPr>
          <t xml:space="preserve">
</t>
        </r>
        <r>
          <rPr>
            <u/>
            <sz val="9"/>
            <color indexed="81"/>
            <rFont val="Tahoma"/>
            <family val="2"/>
          </rPr>
          <t>Begründung für diesen Wert</t>
        </r>
        <r>
          <rPr>
            <sz val="9"/>
            <color indexed="81"/>
            <rFont val="Tahoma"/>
            <family val="2"/>
          </rPr>
          <t>: 
- Dieser Wert ist von unglaublicher Bedeutung für unseren Erfolg. Wir tun vieles, um ihn so rasch wie möglich maximal zu senken (u.a. durch Individualisierung, Investments, Aufarbeitung von User-Wünschen, ständig neuen Inhalten von Partner bzw. Medien, spielerische, unterhaltsame Zugänge wie virtuelle Haustiere, etc.). 
- Bis Mitte 2020 wird der Wert sehr hoch sein, weil viele versprochene Funktionen noch nicht fertig sind und die Usability aufgrund offener Baustellen noch zu schlecht. Ab Q3 2020 gilt dann der hier eingetragene Wert.
- Solange dieser Wert niedriger ist (wird), als Summe A und B zusammen, wächst connect.</t>
        </r>
      </text>
    </comment>
    <comment ref="C15"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sinkt/steigt der prozentuale Wert, mit dem jeden Monat bisherige User connect für immer verlassen?</t>
        </r>
        <r>
          <rPr>
            <sz val="9"/>
            <color indexed="81"/>
            <rFont val="Tahoma"/>
            <family val="2"/>
          </rPr>
          <t xml:space="preserve">
</t>
        </r>
        <r>
          <rPr>
            <u/>
            <sz val="9"/>
            <color indexed="81"/>
            <rFont val="Tahoma"/>
            <family val="2"/>
          </rPr>
          <t>Begründung für diesen Wert</t>
        </r>
        <r>
          <rPr>
            <sz val="9"/>
            <color indexed="81"/>
            <rFont val="Tahoma"/>
            <family val="2"/>
          </rPr>
          <t>:
- Umso userfreundlicher connect (durch die Einarbeitung von Feedback) wird, umso weniger User werden uns verlassen.
- Umso mehr Zeit und Energie unsere User in ihr virtuelles Zuhause investiert haben, umso weniger sind sie bereit, diese wieder aufzugeben. 
- Wir fokussieren uns darauf, dem User solche Investitionen abzuverlangen, damit er wie in einer alten Ehe connect die Treue hält. Beispiele: Individualisierung, exklusiv Inhalte wie z.B. Quest- bzw. Erfolgs-Belohnungen, Einkäufe, Wettbewerbs-Preise, Tresor-Inhalte, Tausch-Ergebnisse, connect-eigener Freundeskreis, Chat-Verläufe, gesammelte Kontakte, erstellte Favoriten-Listen bei Multimedia-Anbietern, (selbst gezüchtete und trainierte) seltene, virtuelle Haustiere, Einstellungen, etc.
- connect wird laufend weiterentwickelt und wir haben hunderte coole Ideen für Funktionen bzw. Inhalte, die unsere User nicht missen werden wollen.
- Unser Datenschutz-Image und der Aufbau von Vertrauen werden User abhalten, zur Konkurrenz zu wechseln bzw. connect als DIE Kommunikations- und Medien-Plattform ihrer Wahl zu verlassen.</t>
        </r>
      </text>
    </comment>
    <comment ref="J15" authorId="0">
      <text>
        <r>
          <rPr>
            <b/>
            <sz val="9"/>
            <color indexed="81"/>
            <rFont val="Tahoma"/>
            <family val="2"/>
          </rPr>
          <t>Michael Schöggl:</t>
        </r>
        <r>
          <rPr>
            <sz val="9"/>
            <color indexed="81"/>
            <rFont val="Tahoma"/>
            <family val="2"/>
          </rPr>
          <t xml:space="preserve">
</t>
        </r>
        <r>
          <rPr>
            <b/>
            <sz val="9"/>
            <color indexed="81"/>
            <rFont val="Tahoma"/>
            <family val="2"/>
          </rPr>
          <t xml:space="preserve">Summe der monatlichen Reduktionsraten für das gesamte Jahr. </t>
        </r>
        <r>
          <rPr>
            <sz val="9"/>
            <color indexed="81"/>
            <rFont val="Tahoma"/>
            <family val="2"/>
          </rPr>
          <t xml:space="preserve">
- Die Werte links davon sind pro Monat und nicht pro Quartal, das hier ist also nicht die Summe der Werte links, sondern das Jahresergebnis.
- Diese Werte sind mit Vorsicht zu genießen, die eigentliche Reduktionsrate pro Jahr ist eine andere, als die einfache Summe der monatlichen Reduktionen.</t>
        </r>
      </text>
    </comment>
    <comment ref="V15" authorId="0">
      <text>
        <r>
          <rPr>
            <b/>
            <sz val="9"/>
            <color indexed="81"/>
            <rFont val="Tahoma"/>
            <family val="2"/>
          </rPr>
          <t>Michael Schöggl:</t>
        </r>
        <r>
          <rPr>
            <sz val="9"/>
            <color indexed="81"/>
            <rFont val="Tahoma"/>
            <family val="2"/>
          </rPr>
          <t xml:space="preserve">
- 2% pro Monat (Q4 2022) entspricht 24% pro Jahr. Für 2021 und die darauffolgenden Jahre rechnen wir mit 20% Abwanderung pro Jahr. 
- connect bietet sehr viel, um User dauerhaft zu binden, z.B. durch Datenschutz, Multimessenger (einmal eingerichtet will man nicht mehr darauf verzichten) und jedes Investment, das unsere User tätigen (Einkäufe, Belohnungen, Chat-Verkauf, etc.).
- Um vorsichtig zu schätzen, wollen wir aber auch dauerhaft mit 20% jährlicher Abwanderung rechnen, da es unrealistisch ist, alle User halten zu können.</t>
        </r>
      </text>
    </comment>
    <comment ref="Z15" authorId="0">
      <text>
        <r>
          <rPr>
            <b/>
            <sz val="9"/>
            <color indexed="81"/>
            <rFont val="Tahoma"/>
            <family val="2"/>
          </rPr>
          <t xml:space="preserve">Michael Schöggl:
</t>
        </r>
        <r>
          <rPr>
            <sz val="9"/>
            <color indexed="81"/>
            <rFont val="Tahoma"/>
            <family val="2"/>
          </rPr>
          <t xml:space="preserve">
Wegen der frühen Testversion, bei der noch fast nichts geht und vieles buggt, ist die Absprungrate pro Monat sehr hoch. Der Wert sagt aber nichts über die fertige Version aus, denn eines haben ALLE Menschen gemeinsam: sie wollen keine Software nutzen, die noch nicht funktioniert, die kaum was bringt und die viele Probleme hat. </t>
        </r>
      </text>
    </comment>
    <comment ref="A16" authorId="0">
      <text>
        <r>
          <rPr>
            <b/>
            <sz val="9"/>
            <color indexed="81"/>
            <rFont val="Tahoma"/>
            <family val="2"/>
          </rPr>
          <t>Michael Schöggl:</t>
        </r>
        <r>
          <rPr>
            <sz val="9"/>
            <color indexed="81"/>
            <rFont val="Tahoma"/>
            <family val="2"/>
          </rPr>
          <t xml:space="preserve">
- Diese Wachstumsrate wird absolut berechnet, d.h. das Endergebnis Quartal 2 minus Endergebnis Quartal 1. 
- Die Wachstumsrate umfasst die Summe A, B und die User, die pro Monat connect wieder verlassen.</t>
        </r>
      </text>
    </comment>
    <comment ref="J16" authorId="0">
      <text>
        <r>
          <rPr>
            <b/>
            <sz val="9"/>
            <color indexed="81"/>
            <rFont val="Tahoma"/>
            <family val="2"/>
          </rPr>
          <t>Michael Schöggl:</t>
        </r>
        <r>
          <rPr>
            <sz val="9"/>
            <color indexed="81"/>
            <rFont val="Tahoma"/>
            <family val="2"/>
          </rPr>
          <t xml:space="preserve">
</t>
        </r>
        <r>
          <rPr>
            <b/>
            <sz val="9"/>
            <color indexed="81"/>
            <rFont val="Tahoma"/>
            <family val="2"/>
          </rPr>
          <t>Wachstumsrate insgesamt im Vergleich zum Vorjahr</t>
        </r>
        <r>
          <rPr>
            <sz val="9"/>
            <color indexed="81"/>
            <rFont val="Tahoma"/>
            <family val="2"/>
          </rPr>
          <t xml:space="preserve">
- Dieser Wert ist im Gegensatz zu den Summenwerten darüber aussagekräftiger. 
- Die Summenwerte (oben) ignorieren, dass beim Zusammenzählen einzelner prozentualer Steigerungen das Ausmaß der gesamten Steigerung bis zum ersten Wert verloren geht und unterschätzt wird, weil immer nur kleinere Änderungen gemessen werden. Dadurch sind die Summenwerte oben deutlich kleiner, als die absolute Steigerungsrate von Jahr 1 zu Jahr 2.  
- Da connect erst mit Jahresende 2018 als Testversion veröffentlicht wurde und kaum User hat, macht die Berechnung dieser jährlichen Wachstumsrate für 2020 im Vergleich zu 2019 wenig Sinn.</t>
        </r>
      </text>
    </comment>
    <comment ref="A17"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 ref="J17" authorId="0">
      <text>
        <r>
          <rPr>
            <b/>
            <sz val="9"/>
            <color indexed="81"/>
            <rFont val="Tahoma"/>
            <family val="2"/>
          </rPr>
          <t xml:space="preserve">Michael Schöggl:
</t>
        </r>
        <r>
          <rPr>
            <sz val="9"/>
            <color indexed="81"/>
            <rFont val="Tahoma"/>
            <family val="2"/>
          </rPr>
          <t xml:space="preserve">
Summe aller neuen User in diesem Jahr abzüglich derjenigen, die inaktiv geworden sind.</t>
        </r>
      </text>
    </comment>
    <comment ref="A18"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 ref="J18" authorId="0">
      <text>
        <r>
          <rPr>
            <b/>
            <sz val="9"/>
            <color indexed="81"/>
            <rFont val="Tahoma"/>
            <family val="2"/>
          </rPr>
          <t xml:space="preserve">Michael Schöggl:
</t>
        </r>
        <r>
          <rPr>
            <sz val="9"/>
            <color indexed="81"/>
            <rFont val="Tahoma"/>
            <family val="2"/>
          </rPr>
          <t xml:space="preserve">
Absolute Anzahl aller aktiven User am Ende des Jahres. 
</t>
        </r>
      </text>
    </comment>
    <comment ref="A20" authorId="0">
      <text>
        <r>
          <rPr>
            <b/>
            <sz val="9"/>
            <color indexed="81"/>
            <rFont val="Tahoma"/>
            <family val="2"/>
          </rPr>
          <t>Michael Schöggl:</t>
        </r>
        <r>
          <rPr>
            <sz val="9"/>
            <color indexed="81"/>
            <rFont val="Tahoma"/>
            <family val="2"/>
          </rPr>
          <t xml:space="preserve">
- connect hat viele Geschäftsmodelle, wird seinen Fokus aber ganz klar auf B2C konzentrieren, um erste Einnahmen (ab dem 1. User) zu machen. 
- Wenn wir eine kritische Masse an Usern erreicht haben (ca. 20 bis 100k), werden langsam immer stärker auch B2B-Kunden auf uns aufmerksam.
- B2B wird deutlich höhere Einnahmen erbringen, als B2C.
- Wir konzentrieren uns von Anfang an auf die Akquise von B2B-Kunden, realistischerweise werden unsere Bemühungen aber erst erfolgreich sein, wenn wir mindestens 20.000 User haben. 
- Wir haben aktive Gespräche mit mehr als zwei Dutzend großer internationaler Unternehmen, die Interesse an einer Zusammenarbeit haben und noch ein wenig zögern, weil es noch etwas zu früh ist. U.a. Porsche, A1, Deutsche Telekom, Red Bull, Wirecard (Kooperation bereits zugesagt), Internorm, Canon, Antenne (Kooperation bereits zugesagt), Energie Steiermark, etc.
- Fast alle Unternehmen, mit denen wir bisher in Kontakt kamen, haben mit uns Gespräche geführt und Interesse gezeigt (wir hatten mehr als ein Dutzend Präsentationen). Uns fehlte bisher die Zeit und die Mittel (Mitarbeiter), um offensiver auf weitere Unternehmen zuzugehen.
- Auf Basis dieser Erfahrungen können wir mit hoher Sicherheit annehmen, dass es uns sehr rasch gelingen wird, Unternehmen als Kunden zu gewinnen, sobald unsere Software fertig ist und wir mindestens 20.000 User haben. Keines dieser Unternehmen will zu spät kommen, aber auch keines kann es sich leisten, bereits fixe Zusagen zu machen, solange unser Projekt noch keine/kaum Traktion bewiesen hat.</t>
        </r>
      </text>
    </comment>
    <comment ref="A21" authorId="1">
      <text>
        <r>
          <rPr>
            <b/>
            <sz val="9"/>
            <color indexed="81"/>
            <rFont val="Tahoma"/>
            <family val="2"/>
          </rPr>
          <t>e.com:</t>
        </r>
        <r>
          <rPr>
            <sz val="9"/>
            <color indexed="81"/>
            <rFont val="Tahoma"/>
            <family val="2"/>
          </rPr>
          <t xml:space="preserve">
- Siehe Quelle 06: Bei erfolgreichen Apps gibt der durchschnittliche User pro Jahr für In-App-Einkäufe ca. 76 € aus.
- connect ist kostenlos, aber User können Erweiterungen wie z.B. virtuelle Haustiere (Entchen, Krokodil fertig, Schildkröte, Küken etc. bald), Spiele, neue virtuelle Räume/Orte (z.B. Oval Office, fertig), Deko, Gimmicks (z.B. Wettergerät), virtuelle Geschenke (z.B. Rose, Flugzeug mit beschriftbaren Banner, etc.) kaufen. 
- Erfahrungen bei Spielen zeigen, dass diese Form der Monetarisierung in vielen Fällen höhere Einnahmen bringt, als ein monatliches Abo-System oder der Kaufpreis eines Spieles.
- In connect werden vor allem virtuelle, fotorealistische, alternative Szenen (z.B. Oval Office), dekorative, stark limitierte Erweiterungen und virtuelle Haustiere für hohe Einnahmen sorgen. Der User kauft z.B. ein Ei und es schlüpft meistens ein Entchen daraus, selten ein Krokodilbaby und extrem selten ein Saurierbaby. Jedes Tier gibt es in verschieden häufigen Farben. Viele User werden zahlreiche Eier kaufen, weil sie unbedingt z.B. ein schwarzes Baby-Krokodil wollen, das ihren Sozialstatus unterstreichen soll und besonders rar und wertvoll ist. 
- Auch alternative VR-Szenarien (die fotorealistisch und interaktiv sind), sind für wenige Euro erschwinglich, viele User werden als Sammler einfach alles kaufen, was angebot wird. 
- In dieser Aufstellung rechnen wir mit realistischen 3,5 bis langfristig 10 Euro pro User und Jahr an Einnahmen, aber möglich wären auch 40 Euro oder mehr. connect bietet viel mehr verschiedenartigen Content, als klassische Spiele und die Inhalte sind noch relevanter für den eigenen Sozial-Status (virtuelle, möglichst realistische Welt, die realen Freunde als Bewunderer, statt fremde Spieler, etc.).</t>
        </r>
      </text>
    </comment>
    <comment ref="B21" authorId="0">
      <text>
        <r>
          <rPr>
            <b/>
            <sz val="9"/>
            <color indexed="81"/>
            <rFont val="Tahoma"/>
            <family val="2"/>
          </rPr>
          <t>Michael Schöggl:</t>
        </r>
        <r>
          <rPr>
            <sz val="9"/>
            <color indexed="81"/>
            <rFont val="Tahoma"/>
            <family val="2"/>
          </rPr>
          <t xml:space="preserve">
</t>
        </r>
        <r>
          <rPr>
            <b/>
            <sz val="9"/>
            <color indexed="81"/>
            <rFont val="Tahoma"/>
            <family val="2"/>
          </rPr>
          <t>Wieviel € gibt ein aktiver User im Durchschnitt für In-App-Käufe pro Monat aus?</t>
        </r>
        <r>
          <rPr>
            <sz val="9"/>
            <color indexed="81"/>
            <rFont val="Tahoma"/>
            <family val="2"/>
          </rPr>
          <t xml:space="preserve">
</t>
        </r>
        <r>
          <rPr>
            <u/>
            <sz val="9"/>
            <color indexed="81"/>
            <rFont val="Tahoma"/>
            <family val="2"/>
          </rPr>
          <t>Begründung für diesen Wert</t>
        </r>
        <r>
          <rPr>
            <sz val="9"/>
            <color indexed="81"/>
            <rFont val="Tahoma"/>
            <family val="2"/>
          </rPr>
          <t xml:space="preserve">:
- Wir rechnen mit 0,3 € (Q3 2020) bis 0,93 € (Q4 2022) pro Monat.
- Das sind sehr vorsichtige, pessimistische Schätzwerte, da offizielle Zahlen und Vergleiche mit anderen Apps/Spielen deutlich höhere Durchschnittswerte belegen. Siehe hierzu Quellen 04 bis 08. WeChat ARPU: 35 $.
- connect ist keine reine App, sondern auch als PC- bzw. PlayStation-Version und in VR erhältlich; dadurch können wir mit den deutlich höheren Einnahmen aus der Online-Spiele-Branche rechnen (siehe Quelle 08, im Durchschnitt 20 € pro Jahr). 
- Da connect "hochwertig" ist/wirkt (kein 2D-Handy-Spiel, sondern ein fotorealistischer Raum um mich herum), ist es sehr wahrscheinlich, dass unsere User auch mehr Geld auszugeben bereit sind, um ihr virtuelles Reich zu verbessern.
- Die gekauften Inhalte haben "persönliche Relevanz" (es sind keine Gimmicks für eine Spielfigur, sondern für </t>
        </r>
        <r>
          <rPr>
            <i/>
            <sz val="9"/>
            <color indexed="81"/>
            <rFont val="Tahoma"/>
            <family val="2"/>
          </rPr>
          <t>mein</t>
        </r>
        <r>
          <rPr>
            <sz val="9"/>
            <color indexed="81"/>
            <rFont val="Tahoma"/>
            <family val="2"/>
          </rPr>
          <t xml:space="preserve"> virtuelles Leben / Reich). 
- Durch den Social-Network-Aspekt erhöhen exklusive Inhalte meinen Sozial-Status gegenüber allen Freunden und nicht nur gegenüber anderen, unbekannten Gamern. 
- Viele In-App-Käufe sind tatsächlich nützlich (z.B. funktionelle Updates), es ist leicht, sie als sinnvoll zu betrachten und insofern auch eher Geld dafür auszugeben. Zudem sind es nicht nur spielerische Inhalte, sondern auch Medien- bzw. Erlebnis-Inhalte, deren Kauf kein negatives Image hat und mehr allgemeine Akzeptanz findet.
- Investitionen in Spiele haben nur kurz einen Wert, bald ist das Spiel nicht mehr interessant, die Preise verfallen (siehe Pokemon Go); bei einem sozialen Netzwerk bleiben meine Investments erhalten. 
- connect-Inhalte können verkauft, verschenkt und vertauscht werden, die Inhalte behalten dadurch an Wert. Das gilt für ALLE Freunde, nicht nur für fremde Gamer.
- Allein ein tauschbares, züchtbares interaktives, täuschend realistisches Haustier in VR wie z.B. ein Tigerbaby - dafür (oder für eine komplett neues Zuhause, z.B. einem Star Wars Raumschiff oder auf einem Piratenschiff) sind User eher bereit 1-15 € zu zahlen, als für Futter für einen "Pou" (bitte googlen). 
- Unsere In-App-Käufe sprechen zudem eine viel größere Zielgruppe an (z.B. VR Sex, VR Haustiere oder süße virtuelle Geschenke für Freunde oder nützliche Funktionen), als klassische In-App-Käufe in sehr spezifischen Spielen.
- connect wird eine Geldmaschine und unsere Schätzwerte sind (mittelfristig) lächerlich gering. 
- Ich könnte ein 500-Seiten-Buch darüber schreiben, warum wir viiiiel höhere Einnahmen durch In-App-Einnahmen haben werden, als der Durchschnitt in den zitierten Quellen. Das ist ein Thema, das wir diskutieren sollten.</t>
        </r>
      </text>
    </comment>
    <comment ref="C21" authorId="0">
      <text>
        <r>
          <rPr>
            <b/>
            <sz val="9"/>
            <color indexed="81"/>
            <rFont val="Tahoma"/>
            <family val="2"/>
          </rPr>
          <t>Michael Schöggl:</t>
        </r>
        <r>
          <rPr>
            <sz val="9"/>
            <color indexed="81"/>
            <rFont val="Tahoma"/>
            <family val="2"/>
          </rPr>
          <t xml:space="preserve">
</t>
        </r>
        <r>
          <rPr>
            <b/>
            <sz val="9"/>
            <color indexed="81"/>
            <rFont val="Tahoma"/>
            <family val="2"/>
          </rPr>
          <t>Um wieviel € pro Quartal werden sich die In-App-Ausgaben der User erhöhen lassen?</t>
        </r>
        <r>
          <rPr>
            <sz val="9"/>
            <color indexed="81"/>
            <rFont val="Tahoma"/>
            <family val="2"/>
          </rPr>
          <t xml:space="preserve">
</t>
        </r>
        <r>
          <rPr>
            <u/>
            <sz val="9"/>
            <color indexed="81"/>
            <rFont val="Tahoma"/>
            <family val="2"/>
          </rPr>
          <t>Begründung für diesen Wert</t>
        </r>
        <r>
          <rPr>
            <sz val="9"/>
            <color indexed="81"/>
            <rFont val="Tahoma"/>
            <family val="2"/>
          </rPr>
          <t>:
- Je mehr Inhalte wir anbieten, umso mehr wird auch gekauft. 
- Ist die Hemmschwelle mal gefallen, werden Stammkunden schneller und leichter weitere Käufe tätigen.
- Im Laufe der Quartale sammeln sich "Stammkunden" an, deren Verbundenheit mit connect immer stärker wird. Diese werden einen Sammlerehrgeiz entwickeln und möglichst viel / alles kaufen, was kaufbar ist.
- Wir werden die Anzahl der kaufbaren Inhalte zu Beginn sehr gering und überschaubar halten, damit ein Sammler-Instinkt entstehen kann (wenn es unmöglich ist, alles zu besitzen, wird dieser abgewürgt). Ein Prozentsatz der User wird versuchen alles zu erwerben, was es gibt. Langsam werden wir diese Anzahl steigern, d.h. es kommen mehr neue monatliche Inhalte dazu.
- Je mehr User connect bekommt, umso mehr Motivation entsteht, Freunden etwas zu kaufen und zu schenken (weil mehr Freunde auch connect verwenden).
- Je mehr User connect hat, umso eher werden In-App-Käufe ein positives, sozial angesehenes Image entwickeln. Die Hemmschwelle sinkt, auch deshalb, weil durch die Tauschbarkeit der Items der fiktive Wert nicht so leicht verloren geht.
- Zeitlich begrenzte Kaufmöglichkeiten werden dazu führen, dass manche User ihren Einkauf teurer weiterverkaufen können, weil die Userzahl und damit die Nachfrage gestiegen ist. Solche Strategien können wir nur im Laufe der Zeit entwickeln, wenn wir aber dieses Image der "Wertigkeit" unserer Inhalte erreicht haben, werden auch mehr Menschen Geld ausgeben.
- Der VR-Markt wächst, das Interesse an VR wächst, mehr Prozent unserer User werden VR-Technik verwenden und damit werden auch unsere klassischen VR-In-App-Käufe wie z.B. virtuelle Szenen / Räume / Einrichtungen an Beliebtheit zunehmen.</t>
        </r>
      </text>
    </comment>
    <comment ref="A22" authorId="0">
      <text>
        <r>
          <rPr>
            <b/>
            <sz val="9"/>
            <color indexed="81"/>
            <rFont val="Tahoma"/>
            <family val="2"/>
          </rPr>
          <t>Michael Schöggl:</t>
        </r>
        <r>
          <rPr>
            <sz val="9"/>
            <color indexed="81"/>
            <rFont val="Tahoma"/>
            <family val="2"/>
          </rPr>
          <t xml:space="preserve">
- Im virtuellen Zuhause der User werden alle Objekte Markenprodukte sein und da jedes Objekt eine Funktion hat (z.B. Fotos machen mit der Kamera), wird diese unterschwellige Product Placement Werbung nicht als aufdringlich wahrgenommen.
- Aktuell gibt es 2 Räume mit rund 15 verschiedenen Markenprodukten, langfristig wird der User sein virtuelles Zuhause um zahlreiche Räume erweitern, es wird komplett neue Szenen geben (z.B. eine Bar, um andere User zu treffen, Kino, Stadt, etc.). Dadurch werden immer mehr "Slots" für Markenprodukte geschaffen.
- Der User kann (in seinem eigenen Zuhause) alles individualisieren und wird z.B. regelmäßig neue Kamera-Modelle anzeigen, auch, weil er ein gewisses Interesse daran hat, immer das Neueste virtuell zu besitzen. Dadurch verdienen wir pro Slot und Jahr mehrmals, bei mehreren unterschiedlichen Markenprodukten. 
- Es gibt viele psychologische Gründe (siehe Kommentare bei den Werte), warum diese Form der Werbung effektiver ist, als alle anderen Zugänge, die es aktuell weltweit gibt.
- Der User wird die Möglichkeit haben, sich zu allen Objekten Informationen anzeigen zu lassen, z.B. wo er es um welchen (günstigsten) Preis kaufen kann, wie lang die Lieferung dauert, welche Bewertungen andere gegeben haben und welche technischen Eigenschaften die Objekte haben. Mittelfristig kann er sie direkt über uns bestellen, in Zusammenarbeit mit Amazon / Alibaba bzw. längerfristig eventuell durch einen eigenen Vertrieb (siehe dazu 2.5 Provision für direkte Online-Einkäufe). </t>
        </r>
      </text>
    </comment>
    <comment ref="B22" authorId="0">
      <text>
        <r>
          <rPr>
            <b/>
            <sz val="9"/>
            <color indexed="81"/>
            <rFont val="Tahoma"/>
            <family val="2"/>
          </rPr>
          <t xml:space="preserve">Michael Schöggl:
Wieviel € pro Monat und User verdienen wir mit Product Placement?
</t>
        </r>
        <r>
          <rPr>
            <u/>
            <sz val="9"/>
            <color indexed="81"/>
            <rFont val="Tahoma"/>
            <family val="2"/>
          </rPr>
          <t>Begründung für diesen Wert</t>
        </r>
        <r>
          <rPr>
            <sz val="9"/>
            <color indexed="81"/>
            <rFont val="Tahoma"/>
            <family val="2"/>
          </rPr>
          <t>:
- Wir werden mindestens folgende Prämien verlangen (die Preise könnten nach genauer Prüfung auch höher angesetzt werden, hier wollen wir mit vielen Experten und Partnern sprechen): 
&gt; 1 hour:      0.15 €/$ 
&gt; 2 hours: + 0.12 €/$ 
&gt; 3 hours: + 0.10 €/$ 
&gt; 4 hours: + 0.08 €/$ 
&gt; 5 hours: + 0.05 €/$
= insgesamt maximal 50 Cent.</t>
        </r>
        <r>
          <rPr>
            <sz val="9"/>
            <color indexed="81"/>
            <rFont val="Tahoma"/>
            <family val="2"/>
          </rPr>
          <t xml:space="preserve">
- Die Werbung ist unterschwellig, nicht aufdringlich, wirkt über Stunden, Tage oder Monate (statt Sekunden), die Objekte sind interaktiv und teilweise lustig, der User gewöhnt sich an sie, baut eine Bindung zu ihnen auf. Die Werbung ist ganz nahe an der Realität (keine abstrakte Verbindung) und wir können das positive Erlebnis mit den Objekten gezielt steuern (durch z.B. lustige, spannende, positive Ereignisse).
- Jeder NEUE Werbezugang trifft zu Beginn auf weniger Abwehr, warum Profis immer nach neuen Zugängen suchen, die noch nicht durch viele Konkurrenten überlaufen sind und beim Kunden zur Sättigung und Abwehr führen. Daher ist unser Werbezugang äußerst effektiv. 
- Der User wird alle Objekte in 3D von allen Seiten bewundern können, kann sie hochheben, neu platzieren. Er kann Materialien austauschen (z.B. bei Möbeln das Funier oder den Bezug wechseln) und sich somit alles so gestalten, wie es ihm gefällt. Die Objekte, die er im Raum hat, werden seinem Geschmack entsprechen (zielgruppenspezifisch) und der User wird seine Entscheidung aufgrund des Bedürfnisses "Recht zu behalten" gegenüber sich und anderen verteidigen, er wird zum Verfechter seiner Wahl. 
- Weitere Infos und Argumente: siehe Wert rechts und Beschreibung links!
</t>
        </r>
      </text>
    </comment>
    <comment ref="C22" authorId="0">
      <text>
        <r>
          <rPr>
            <b/>
            <sz val="9"/>
            <color indexed="81"/>
            <rFont val="Tahoma"/>
            <family val="2"/>
          </rPr>
          <t>Michael Schöggl:</t>
        </r>
        <r>
          <rPr>
            <sz val="9"/>
            <color indexed="81"/>
            <rFont val="Tahoma"/>
            <family val="2"/>
          </rPr>
          <t xml:space="preserve">
</t>
        </r>
        <r>
          <rPr>
            <b/>
            <sz val="9"/>
            <color indexed="81"/>
            <rFont val="Tahoma"/>
            <family val="2"/>
          </rPr>
          <t>Um wieviel Cent pro Quartal werden sich die monatlichen Einnahmen durch Product Placement erhöhen?</t>
        </r>
        <r>
          <rPr>
            <sz val="9"/>
            <color indexed="81"/>
            <rFont val="Tahoma"/>
            <family val="2"/>
          </rPr>
          <t xml:space="preserve">
</t>
        </r>
        <r>
          <rPr>
            <u/>
            <sz val="9"/>
            <color indexed="81"/>
            <rFont val="Tahoma"/>
            <family val="2"/>
          </rPr>
          <t>Begründung für diesen Wert</t>
        </r>
        <r>
          <rPr>
            <sz val="9"/>
            <color indexed="81"/>
            <rFont val="Tahoma"/>
            <family val="2"/>
          </rPr>
          <t xml:space="preserve">:
- Wie im Kommentar der Beschreibung links dargestellt, gibt es zu Beginn rund 15 Slots in den aktuell 2 Räumen, um Markenprodukte anzuzeigen. Unsere VR-Welt wächst, es werden im Laufe der Zeit hunderte Slots werden. Da der User regelmässig seine eigenen Objekte im Raum im Zuge der Individualisierung austauschen wird (z.B. im Schnitt alle 3 Monate die Möbel) und wir bei öffentlichen Räumen (z.B. Bar, Stadt, etc.) gleich verfahren, können wir pro Slot mehrmals pro Jahr mit Einnahmen von unterschiedlichen Partnern rechnen. Jeder Slot wird also mehr bringen, als 50 Cent pro User.
- Wir rechnen hier mit extrem vorsichtigen, bescheidenen Werten. Statistische Daten zeigen, dass User im Durchschnitt mehrere Stunden am Tag aktiv sind, in einem virtuellen Zuhause bzw. einer virtuellen Welt vllt sogar mehr. Je aktiver, umso länger betrachtet er die Product Placement Werbung. 
- Bei 27 Cent pro User und Monat würden wir davon ausgehen, dass der User in diesem Monat nur eines der aktuell 15 Objekte für mehr als 2 Stunden gesehen hat, oder 2 Objekte für jeweils mehr als 1 Stunde (siehe Preisgestaltung im Kommentar links). 
- Natürlich liegen die meisten Objekte direkt im Blick der Standard-Bildschirmausschnitte, die der User regelmäßig verwendet, z.B. am virtuellen Schreibtisch, wo alle Social Network Funktionen zu finden sind. Da die Objekte alle Funktionen haben, werden sie zwangsläufig regelmäßig betrachtet.
- Es ist extrem viel Luft nach oben. Langfristig könnten User pro Monat bei 50 Objekten die Obergrenze von 5 Stunden Betrachtung erreichen, das wären dann 25 € pro MONAT! 
- Zudem sind unsere Preise mehr als moderat und könnten deutlich höher sein, oder angehoben werden (wenn sich immer mehr Unternehmen um unsere Werbung streiten - vgl. Google/Facebook: die Preise sind dann die Höchstgebote). 
- Darum rechnen wir natürlich mit einer Steigerung der Einnahmen pro Quartal, 10 Cent sind sehr pessimistisch und locker zu erreichen. </t>
        </r>
      </text>
    </comment>
    <comment ref="A23" authorId="0">
      <text>
        <r>
          <rPr>
            <b/>
            <sz val="9"/>
            <color indexed="81"/>
            <rFont val="Tahoma"/>
            <family val="2"/>
          </rPr>
          <t xml:space="preserve">Michael Schöggl:
</t>
        </r>
        <r>
          <rPr>
            <sz val="9"/>
            <color indexed="81"/>
            <rFont val="Tahoma"/>
            <family val="2"/>
          </rPr>
          <t xml:space="preserve">
- Ca. 30% Provision an allen Verkäufen.
- Zu Beginn bringt uns dieser Zugang weniger, als unser eigener In-App-Shop unter 2.1, aber je mehr User wir haben, umso mehr Drittanbieter werden Inhalte für connect bauen und umso mehr Kaufmöglichkeiten werden User haben und auch nutzen. 
- Große Unternehmen wie Walt Disney sollen z.B. ihre Welten als VR-Szene bereitstellen - z.B. Star Wars oder Fluch der Karibik. Für solche fotorealistischen, interaktiven VR-Szenen können die Preise deutlich höher sein (ca. 5-10 €), als bei virtuellen Haustieren, Spielen, Gimmicks und Co.</t>
        </r>
      </text>
    </comment>
    <comment ref="B23" authorId="0">
      <text>
        <r>
          <rPr>
            <b/>
            <sz val="9"/>
            <color indexed="81"/>
            <rFont val="Tahoma"/>
            <family val="2"/>
          </rPr>
          <t>Michael Schöggl:</t>
        </r>
        <r>
          <rPr>
            <sz val="9"/>
            <color indexed="81"/>
            <rFont val="Tahoma"/>
            <family val="2"/>
          </rPr>
          <t xml:space="preserve">
</t>
        </r>
        <r>
          <rPr>
            <b/>
            <sz val="9"/>
            <color indexed="81"/>
            <rFont val="Tahoma"/>
            <family val="2"/>
          </rPr>
          <t>Wieviel € pro Monat verdienen wir durch Provision an Drittanbieter-Inhalten?</t>
        </r>
        <r>
          <rPr>
            <sz val="9"/>
            <color indexed="81"/>
            <rFont val="Tahoma"/>
            <family val="2"/>
          </rPr>
          <t xml:space="preserve">
</t>
        </r>
        <r>
          <rPr>
            <u/>
            <sz val="9"/>
            <color indexed="81"/>
            <rFont val="Tahoma"/>
            <family val="2"/>
          </rPr>
          <t>Begründung für diesen Wert</t>
        </r>
        <r>
          <rPr>
            <sz val="9"/>
            <color indexed="81"/>
            <rFont val="Tahoma"/>
            <family val="2"/>
          </rPr>
          <t>:
- Der Start wird sehr bescheiden sein, weil es nur wenige Drittanbieter geben wird. Durch den zweiten Wert (siehe Spalte rechts) wird der Zugewinn an weiteren Drittanbieter dargestellt, durch den dieses Geschäftsmodell sehr schnell an Bedeutung gewinnt.
- Der Wert ist auch deshalb deutlich geringer, als für In-App-Käufe, weil wir nur einen Anteil erhalten, nicht die volle Summe. Wir werden rund 30% an Provision verlangen.</t>
        </r>
      </text>
    </comment>
    <comment ref="C23" authorId="0">
      <text>
        <r>
          <rPr>
            <b/>
            <sz val="9"/>
            <color indexed="81"/>
            <rFont val="Tahoma"/>
            <family val="2"/>
          </rPr>
          <t>Michael Schöggl:</t>
        </r>
        <r>
          <rPr>
            <sz val="9"/>
            <color indexed="81"/>
            <rFont val="Tahoma"/>
            <family val="2"/>
          </rPr>
          <t xml:space="preserve">
</t>
        </r>
        <r>
          <rPr>
            <b/>
            <sz val="9"/>
            <color indexed="81"/>
            <rFont val="Tahoma"/>
            <family val="2"/>
          </rPr>
          <t>Um wieviel € pro Quartal erhöhen sich unsere monatlichen Einnahmen durch Provision für Drittanbieter-Inhalte?</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mehr Drittanbieter werden über uns Inhalte verkaufen (z.B. alternative 3D-Umgebungen, virtuelle Haustiere oder klassische Merchandising-Produkte in VR).
- Die Zahl ist gleich hoch, wie bei In-App-Käufen, stellt aber eine fast dreimal so schnelle Steigerung dar, weil wir nur ca. 30% an Provision von diesen In-App-Inhalten erhalten werden. Wir gehen aber davon aus, dass rund 3/4 aller verfügbaren In-App-Käufe von Drittanbietern stammen werden und diese Einnahmequelle langfristig die Einnahmen durch eigene Inhalte überholen wird. 
- Wir werden nur Inhalte von Partnern zulassen, die höchsten Qualitätsansprüchen genügen und auch nur dann, wenn sie vor der Entwicklung abgesprochen waren. Wir werden es um jeden Preis verhindern, dass mindere Qualität unser Image zerstört, alle Inhalte müssen a.) funktionell und interaktiv, b.) möglichst fotorealistisch c.) preislich fair (d.h. eher günstig, Massenmarkt) sein. 
- Wir wollen auf keinen Fall, dass der Sammler-Instinkt unserer User durch ein Überangebot (noch dazu von schlechter Qualität - wo der Einkauf als unfair empfunden wird und die Zufriedenheit riskiert) zerstört wird. Es soll möglich bleiben, dass ein User alles kauft, was es gibt - ohne dass er dabei mehr als rund 1000 € ausgibt. Besonders seltene Inhalte werden nicht kaufbar sein (sondern z.B. Aufwand bedeuten oder durch Zufall limitiert), da bereits ein einziger kaufbarer Inhalt, der zu teuer ist, den Sammeltick bei fast allen Menschen zerstören würde.
- Geplante maximale Gesamtausgaben (wenn ein User alles kaufbare kauft): 2020: 70 €, 2021: 200 €, 2022: 400 €, ... 2023: 1000 €. Wir wollen, dass möglichst viele Menschen möglichst alles kaufen / sammeln. 
- Wir werden Anreize (Belohnungen, Visualisierungen, Titel etc.) für User schaffen, die alle kaufbaren Inhalte gesammelt haben (ebenso wie alle, die man z.B. durch den Tresor oder durch Erfolge erhalten kann, etc. - aber da wird das Erreichen des Ziels viel schwieriger sein, weshalb viele sich als Ersatz den Erfolg für alle kaufbaren Inhalte holen werden). </t>
        </r>
      </text>
    </comment>
    <comment ref="D23" authorId="0">
      <text>
        <r>
          <rPr>
            <b/>
            <sz val="9"/>
            <color indexed="81"/>
            <rFont val="Tahoma"/>
            <family val="2"/>
          </rPr>
          <t>Michael Schöggl:</t>
        </r>
        <r>
          <rPr>
            <sz val="9"/>
            <color indexed="81"/>
            <rFont val="Tahoma"/>
            <family val="2"/>
          </rPr>
          <t xml:space="preserve">
- Der Schätzwert zu Frage 7 (Einnahmen durch 2.3, 2.4 und 2.5) wird gleichmäßig auf 2.3, 2.4 und 2.5 aufgeteilt. In Wirklichkeit wird die Verteilung zwar ziemlich sicher nicht gleichmäßig sein, aber für das Ergebnis ist das irrelevant.</t>
        </r>
      </text>
    </comment>
    <comment ref="A24" authorId="0">
      <text>
        <r>
          <rPr>
            <b/>
            <sz val="9"/>
            <color indexed="81"/>
            <rFont val="Tahoma"/>
            <family val="2"/>
          </rPr>
          <t>Michael Schöggl:</t>
        </r>
        <r>
          <rPr>
            <sz val="9"/>
            <color indexed="81"/>
            <rFont val="Tahoma"/>
            <family val="2"/>
          </rPr>
          <t xml:space="preserve">
- Wenn User über uns zu VR-Shops vermittelt werden und in diesen einkaufen, verlangen wir zwischen 1 bis 5 % an Provision (der Wert steht noch nicht fest, er soll mit Experten und Partnern besprochen werden). 
- VR-Shops müssen irgendwie an User kommen, diese sind in der Regel zu faul, um extra dafür eine Software runterzuladen, sich anzumelden, auf Gerätekompatibilität zu prüfen, ihre Bezahldaten für jeden Shop extra anzugeben, etc. Daher könnten wir das "Amazon in VR" werden, wir übernehmen diesen Service und verlangen dafür Provision. 
- Wir könnten auch das Erstellen von VR-Shops anbieten, damit diese bestmöglich unseren Anforderungen entsprechen. Allgemein aber ist connect so gestaltet, dass bestmöglich Schnittstellen zu VR-Shops unterstützt. Wir arbeiten mit Unity, einer Game Enigne, mit der rund 70 % der gesamten VR/AR-Software weltweit erstellt wird. Alle Unity-Szenen wären plattformunabhängig und leicht mit uns verknüpfbar. 
- Wir wollen mittelfristig ein Baukasten-System anbieten, mit dem jeder Partner sehr einfach einen VR-Shop in Unity erstellen kann und mit unserem Netzwerk anknüpfen. Dasselbe haben wir für Medien bereits gemacht - dort gibt es bereits eine Online-Plattform für die Verknüpfung aller Video-, Audio-, Print- oder Internet-Medien mit unserem virtuellen Zuhause. Der Aufwand beträgt weniger als 30 Minuten, auch der Aufwand für VR-Shops soll minimalisiert werden. 
- Ein Baukasten könnte den Partnern ermöglichen, dass sie sich sehr schnell einen Shop zusammenbasteln, mit Logos, Einrichtung und Design schmücken und nur noch ihre eigenen, verkaufbaren Produkte als 3D-Modelle einbringen müssen. Diese existieren schon jetzt für die meisten Produkte, weil die "Fotos" auf Amazon keine Fotos sondern 3D-Renderings von 3D-Modellen sind. 
- Wir haben mit einer Vielzahl von internationalen Unternehmen bei Business-Veranstaltungen gesprochen und wissen genau, worauf es ankommt und wie wir hier das einfachste, attraktivste Modell einer Zusammenarbeit gestalten müssen. 
- Auch ohne unseren Baukasten: Wer einen VR-Shop baut, wird gut darin beraten sein, ihn Unity-tauglich zu kreieren, weil er ihn nur so kompatibel mit vielen Plattformen (Hardware) und Netzwerken (Software) gestalten kann. 
- Oculus (Facebook) und Amazon versuchen einen restriktiven Weg zu gehen und eine eigene Enigne für die Erstellung von VR-Inhalten anzubieten (es gibt bisher nur Ankündigungen), aber dann wären alle Partner "gefangen" und abhängig und würden nur über eine Hardware (Oculus Brille) bzw. einen Anbieter (Amazon) ihre Shops anbinden können. Es ist sehr wahrscheinlich, dass es uns gelingt, mehr Partner durch eine nicht restriktive Politik zu gewinnen, weil deren Shops nicht nur mit unserem Produkt funktionieren würden, sondern bei ca. 90% aller Anbieter. Außerdem ist die Enigne Unity mit 12 Jahren Vorsprung viel besser, als die noch unfertigen Neuentwicklungen von Amazon und Facebook. Wir sind hier vergleichbar mit Microsoft bzw. Android (unterstützen möglichst alles) versus Apple bzw. iPhone (restriktive Politik, die von FB und Amazon kopiert wird).</t>
        </r>
      </text>
    </comment>
    <comment ref="B24" authorId="0">
      <text>
        <r>
          <rPr>
            <b/>
            <sz val="9"/>
            <color indexed="81"/>
            <rFont val="Tahoma"/>
            <family val="2"/>
          </rPr>
          <t>Michael Schöggl:</t>
        </r>
        <r>
          <rPr>
            <sz val="9"/>
            <color indexed="81"/>
            <rFont val="Tahoma"/>
            <family val="2"/>
          </rPr>
          <t xml:space="preserve">
</t>
        </r>
        <r>
          <rPr>
            <b/>
            <sz val="9"/>
            <color indexed="81"/>
            <rFont val="Tahoma"/>
            <family val="2"/>
          </rPr>
          <t xml:space="preserve">
Wieviel € werden wir pro Monat an Provision für die Vermittlung unserer User zu VR-Shops erhalten?</t>
        </r>
        <r>
          <rPr>
            <sz val="9"/>
            <color indexed="81"/>
            <rFont val="Tahoma"/>
            <family val="2"/>
          </rPr>
          <t xml:space="preserve">
</t>
        </r>
        <r>
          <rPr>
            <u/>
            <sz val="9"/>
            <color indexed="81"/>
            <rFont val="Tahoma"/>
            <family val="2"/>
          </rPr>
          <t>Begründung für diesen Wert</t>
        </r>
        <r>
          <rPr>
            <sz val="9"/>
            <color indexed="81"/>
            <rFont val="Tahoma"/>
            <family val="2"/>
          </rPr>
          <t xml:space="preserve">:
- Der Wert startet sehr bescheiden, weil zu Beginn (ab 2021) noch wenige VR-Shops an uns angebunden sein werden und auch nur wenige erste Early Adopter User in VR einkaufen werden. 
- Die Steigerung rechts ist deutlich höher (siehe Begründung dafür im Kommentar rechts). 
- Wir werden ca. 2 - 10 % an Provision für Einkäufe, die durch uns vermittelt wurden, verlangen. Dieser Wert soll noch von Experten und in Absprache mit Partnern geprüft und gegebenfalls angepasst werden. 
</t>
        </r>
      </text>
    </comment>
    <comment ref="C24" authorId="0">
      <text>
        <r>
          <rPr>
            <b/>
            <sz val="9"/>
            <color indexed="81"/>
            <rFont val="Tahoma"/>
            <family val="2"/>
          </rPr>
          <t>Michael Schöggl:
Um wieviel € pro Quartal steigern sich unsere monatlichen Einnahmen durch Provision für VR-Shops?</t>
        </r>
        <r>
          <rPr>
            <sz val="9"/>
            <color indexed="81"/>
            <rFont val="Tahoma"/>
            <family val="2"/>
          </rPr>
          <t xml:space="preserve">
</t>
        </r>
        <r>
          <rPr>
            <u/>
            <sz val="9"/>
            <color indexed="81"/>
            <rFont val="Tahoma"/>
            <family val="2"/>
          </rPr>
          <t>Begründung für diesen Wert</t>
        </r>
        <r>
          <rPr>
            <sz val="9"/>
            <color indexed="81"/>
            <rFont val="Tahoma"/>
            <family val="2"/>
          </rPr>
          <t xml:space="preserve">:
- Die ersten Unternehmen, die ihre Waren auch zum Kauf in VR-Shops anbieten, werden allein durch die Neugier der VR-User, die solche Shops mal erleben wollen, eine neue, zusätzliche Zielgruppe erschließen.
- Selbst, wenn das nicht stimmt: kein großes Unternehmen wird es sich leisten können, diesen Markt zu verschlafen. Wer würde schon gerne das Online-Shopping komplett verschlafen? Es gehört beinahe zur Pflicht eines großen Unternehmens, im Zuge der Risikominimierung, möglichst rasch auch einen VR-Shop anzubieten (Beispiele wie Kodak oder Nokia schrecken Manager, die sich gegenüber Aktionären verantworten müssen, ab).
- Die Erstellung eines VR-Shops kostet nicht mehr als ca. 100.000 bis 2 Millionen Euro. Wir könnten solche Auftragsarbeiten auch anbieten, wenn wir wollen! (Nachfrage haben wir bereits mehr als genug erhalten). 
- Das Feedback von mehr als einem Dutzend großer Unternehmen (darunter Porsche, A1, Red Bull, Deutsche Telekom, Wirecard, Casino-Anbieter etc.) war, dass sie ernsthaft an einem VR-Shop interessiert sind, ihn uns in Auftrag geben würden oder bereits selbst daran arbeiten. 
- Auch Statistiken (siehe Quelle 17) belegen, dass viele Unternehmen sehr bald (wir rechnen ab 2021) VR-Shops anbieten werden. Zudem belegen sie (siehe Quelle 5), dass Shopping-Apps im Schnitt pro User rund 2,68 € pro Monat verdienen. 
- Wir haben connect (mit der weitweit größten VR- und Game Engine Unity) so modular und erweiterbar entwickelt, dass unsere App mit möglichst vielen VR-Erlebnissen verknüpft werden kann. Es wird uns leichter, als anderen Mitbewerbern fallen, fast jeden VR-Inhalt (und somit auch Shops) anzubinden. Selbst, wenn das in einigen Fällen nicht automatisch gehen sollte, wäre der Aufwand für ein Unternehmen, ihren Shop für uns anknüpfbar zu machen, sehr gering (3D kann importiert werden und für die Funktionalität des Einkaufens bieten wir eine eigene Lösung an).
- Es ist unser Ziel, connect zum größten VR-Netzwerk der Welt zu entwickeln, also so flexibel erweiterbar, dass möglichst jeder VR-Inhalt mit unserer VR-Welt verbunden werden kann. Wir haben hier sehr viel Zeit und Geld in die Entwicklung eines plattformunabhängigen, modularen Systems gesteckt, das diesen Anforderungen besser als jeder Mitbewerber gerecht werden kann. Details bitte persönlich besprechen. 
- VR-Shopping wird langfristig einen ähnlich großen Markt wie Online-Shopping erzielen und wenn es uns gelingt, DIE Anlaufstelle für VR-Shops zu werden, um an neue Kunden zu kommen, dann wird dieses Geschäftsmodell mit Abstand alle übrigen (ohnehin bereits sehr lukrativen) in den Schatten stellen. 
- Kein Mensch lädt eine eigene Software herunter, registriert sich extra, stellt Bezahlmöglichkeiten ein, kümmert sich um Updates, Patches und Geräteinkompatibilitäten, nur, um Zugang zu einem VR-Shop zu erhalten, dessen Anbieter er nicht einmal kennt. Die User müssen komplett ohne Aufwand auf die Idee gebracht werden, dass es diese Produkte in VR zu kaufen gibt und sie ihrem Interesse entsprechen. Sie laufen durch eine virtuelle Stadt, wo jene Shops, die sie speziell interessieren, instanziert werden, oder sie bekommen Vorschläge am virtuellen Fernseher (wie TV-Sender) und teleportieren sich rein.
- Jeder Anbieter eines VR-Shops wird auf eine Vermittlung wie die unsere angewiesen sein, um an Kunden zu kommen. Menschen kaufen auch lieber bei Amazon ein, als den Online-Shop eines unbekannten kleines Anbieters zu suchen, zu finden und sich dort anzumelden. In VR ist der Aufwand noch viel höher, weil eine 3D-Shop-Umgebung manuell heruntergeladen und installiert werden müsste, anstatt über uns automatisch verknüpft zu werden.
- Eine Steigerung um rund 10 Cent pro Quartal ist realistisch, das entspräche bei 5% Provision einem Anwachsen der durchschnittlichen monatlichen Shopping-Ausgaben um 2 € (bzw. 8 € pro Jahr). Verglichen mit den Einkünften durch Online-Shopping, ist das sehr vorsichtig.
- VR-Shops haben werden langfristig deutlich beliebter sein, als Online-Shops, weil der User seine Einkäufe an seinem virtuellen Avatar (Spielfigur) in fotorealistischer Grafik erproben kann. Z.B. sammelt eine Frau hunderte virtuelle Schuhe aus VR-Shops in ihrem virtuellen Zuhause, probiert diese mit ihrem Avatar (der aussieht, wie sie) an und bestellt ihre Lieblingsschuhe dann direkt über connect bzw. den angebundenen VR-Shop. Darüber kann jedes Produkt in VR von allen Seiten betrachtet werden und der User kann damit interagieren, z.B. Kamera-Funktionen ausprobieren oder aus verschiedenen Modellen wählen (z.B. verschiedene Materialien, Farben etc.). Die VR-Welt ist auch übersichtlicher und virtuell erprobte Produkte lassen sich in VR Freunden zeigen, was zu Feedback und Bestätigung ("Ja, das Kleid steht dir!") führt. </t>
        </r>
      </text>
    </comment>
    <comment ref="D24" authorId="0">
      <text>
        <r>
          <rPr>
            <b/>
            <sz val="9"/>
            <color indexed="81"/>
            <rFont val="Tahoma"/>
            <family val="2"/>
          </rPr>
          <t>Michael Schöggl:</t>
        </r>
        <r>
          <rPr>
            <sz val="9"/>
            <color indexed="81"/>
            <rFont val="Tahoma"/>
            <family val="2"/>
          </rPr>
          <t xml:space="preserve">
- Der Schätzwert zu Frage 7 (Einnahmen durch 2.3, 2.4 und 2.5) wird gleichmäßig auf 2.3, 2.4 und 2.5 aufgeteilt. In Wirklichkeit wird die Verteilung zwar ziemlich sicher nicht gleichmäßig sein, aber für das Ergebnis ist das irrelevant.</t>
        </r>
      </text>
    </comment>
    <comment ref="A25" authorId="0">
      <text>
        <r>
          <rPr>
            <b/>
            <sz val="9"/>
            <color indexed="81"/>
            <rFont val="Tahoma"/>
            <family val="2"/>
          </rPr>
          <t>Michael Schöggl:</t>
        </r>
        <r>
          <rPr>
            <sz val="9"/>
            <color indexed="81"/>
            <rFont val="Tahoma"/>
            <family val="2"/>
          </rPr>
          <t xml:space="preserve">
- Alle Product Placement Objekte in connect sollen ab 2021 auch gekauft werden können. Wir sprechen bereits mit Wirecard bezüglich Bezahlsystem und Kooperation. 
- Eine Zusammenarbeit mit Amazon (für die Logistik) wäre perfekt, ansonsten könnten wir auch nur vermitteln und der Produzent übernimmt selbst den Versand. Wir würden dann direkt zwischen Produzent und Konsument vermitteln, Provision verdienen, den Zwischenhandel ausschalten und den Versand den Unternehmen (oder Amazon) überlassen. 
- Wir rechnen mit 10% an Provision (dieser Richtwert muss erst von Experten geprüft werden, aber wenn der gesamte Zwischenhandel wegfällt und nur der Vertrieb übrig bleibt, sollte das mehr als fair sein).
- Langfristig können praktisch alle Produkte in unserer VR-Welt repräsentiert werden, entweder im virtuellen Zuhause (mit Büro) der User (auch im echten Zuhause lassen sich 95% aller Konsum-Produkte im Zuhause oder Büro finden) oder in Social Places, wie z.B. Bar, Kino, Shop, Stadt, Urlaubsziel etc.
- Vorteil: Im echten Leben wäre es sehr aufwendig, kostspielig und aufgrund mangelnder Informationen kaum schaffbar, genau jene Produkte, die unsere User interessieren, dort virtuell zu platzieren, wo sie schnell und unaufdringlich wahrgenommen werden. In VR ist das kinderleicht. 
- Die Objekte hätten dieselbe Funktion wie im realen Leben (damit der Zugang spielerisch ist und der User häufig interagiert) und der User könnte frei entscheiden, welche Produkte auftauchen dürfen (bzw. er direkt selbst auswählt und platziert) und welche nicht (damit es keine aufdringliche Werbung ist - gilt natürlich nicht für Social Places).
- User richten ihr virtuelles Zuhause mit virtuellen Gegenständen ein, die sie jederzeit direkt bestellen können - oder sie können in connect einstellen, wann welche Markenprodukte automatisch geliefert werden sollen, z.B. wenn das Klopapier ausgeht. Die Darstellung eines Mangels könnte im VR-Zuhause mit dem realen Zuhause übereinstimmen.</t>
        </r>
      </text>
    </comment>
    <comment ref="B25" authorId="0">
      <text>
        <r>
          <rPr>
            <b/>
            <sz val="9"/>
            <color indexed="81"/>
            <rFont val="Tahoma"/>
            <family val="2"/>
          </rPr>
          <t>Michael Schöggl:</t>
        </r>
        <r>
          <rPr>
            <sz val="9"/>
            <color indexed="81"/>
            <rFont val="Tahoma"/>
            <family val="2"/>
          </rPr>
          <t xml:space="preserve">
</t>
        </r>
        <r>
          <rPr>
            <b/>
            <sz val="9"/>
            <color indexed="81"/>
            <rFont val="Tahoma"/>
            <family val="2"/>
          </rPr>
          <t>Wieviel € pro User nehmen wir durch Provision für den Einkauf von Product Placement Produkten innerhalb unserer eigenen VR-Inhalte ein?</t>
        </r>
        <r>
          <rPr>
            <sz val="9"/>
            <color indexed="81"/>
            <rFont val="Tahoma"/>
            <family val="2"/>
          </rPr>
          <t xml:space="preserve">
</t>
        </r>
        <r>
          <rPr>
            <u/>
            <sz val="9"/>
            <color indexed="81"/>
            <rFont val="Tahoma"/>
            <family val="2"/>
          </rPr>
          <t>Begründung für diesen Wert</t>
        </r>
        <r>
          <rPr>
            <sz val="9"/>
            <color indexed="81"/>
            <rFont val="Tahoma"/>
            <family val="2"/>
          </rPr>
          <t>:
- Im Gegensatz zur Provision, wenn User in einem fremden VR-Shop einkaufen, bezieht sich diese Provision auf den Einkauf von Produkten, die direkt in den virtuellen Szenen, die wir selbst anbieten, positioniert waren. 
- Zu Beginn, mit 2021, wird nur ein Teil der Product Placement Partner bereit sein, dieser Erweiterung auf In-App-Käufe zuzustimmen (schließlich müssen wir zeigen, dass sich der Aufwand lohnt). Durch erste Erfolgszahlen werden sich immer mehr überzeugen lassen. Wir rechnen also mit einem langsamen Start. 
- Es ist sehr schwer abzuschätzen, wieviele unserer User direkt über connect einkaufen werden. Über das Internet kaufen Menschen sehr gerne ein, ebenso über Amazon. Wenn es uns gelingen würde, zu einem der beliebtesten Einkaufsorte in VR zu werden, würden wir mit ca. 5-20 € pro User und Jahr (nicht Monat) rechnen können. Realistisch ist jedoch weiteraus weniger:
- Schätzwert 2021: Jeder 100ste User kauft einmal im Jahr über uns ein Produkt um durchschnittlich 100 € (die meisten Produkte, wie Möbel, technische Geräte etc. sind teurer) und wir erhalten 10% Provision daran. Das entspräche nicht ganz 1 Cent pro User und Monat, unser Startwert.</t>
        </r>
      </text>
    </comment>
    <comment ref="C25" authorId="0">
      <text>
        <r>
          <rPr>
            <b/>
            <sz val="9"/>
            <color indexed="81"/>
            <rFont val="Tahoma"/>
            <family val="2"/>
          </rPr>
          <t>Michael Schöggl:</t>
        </r>
        <r>
          <rPr>
            <sz val="9"/>
            <color indexed="81"/>
            <rFont val="Tahoma"/>
            <family val="2"/>
          </rPr>
          <t xml:space="preserve">
</t>
        </r>
        <r>
          <rPr>
            <b/>
            <sz val="9"/>
            <color indexed="81"/>
            <rFont val="Tahoma"/>
            <family val="2"/>
          </rPr>
          <t>Um wieviel € pro Quartal steigern sich die Einnahmen durch Provision für den Verkauf von Produkten direkt innerhalb der connect VR-Umgebung?</t>
        </r>
        <r>
          <rPr>
            <sz val="9"/>
            <color indexed="81"/>
            <rFont val="Tahoma"/>
            <family val="2"/>
          </rPr>
          <t xml:space="preserve">
</t>
        </r>
        <r>
          <rPr>
            <u/>
            <sz val="9"/>
            <color indexed="81"/>
            <rFont val="Tahoma"/>
            <family val="2"/>
          </rPr>
          <t>Begründung für diesen Wert</t>
        </r>
        <r>
          <rPr>
            <sz val="9"/>
            <color indexed="81"/>
            <rFont val="Tahoma"/>
            <family val="2"/>
          </rPr>
          <t>:
- Schätzwert 2021: Jeder 100ste User kauft einmal im Jahr über uns ein Produkt um durchschnittlich 100 € (die meisten Produkte, wie Möbel, technische Geräte etc. sind teurer) und wir erhalten 10% Provision daran. Das entspräche nicht ganz 1 Cent pro User und Monat, unser Startwert.
- Schätzwerte 2024: Jeder 10te User kauft pro Jahr über connect Produkte im Wert von 300 €, wir erhalten 10% Provision. Das entspräche 0,25 € pro User und Monat, unser Zielwert. 
- Langfristig können wir die Einnahmen über dieses Geschäftsmodell deutlich steigern, wenn unsere VR-Welt wächst (also unsere User auch virtuelle Kinokarten, Reisen, Flüge, Gutscheine, Möbel, Geschenke, Dekoration, etc. kaufen) oder wenn wir dieses Geschäftsmodell um Essens-Lieferservices oder Abos für Alltags-Konsumgüter bzw. Lebensmittel erweitern. 
- Beispiel 1: Wir bieten einen eigenen Lieferservice an, bei dem der User auf einer virtuellen Karte am Schreibtisch die Position der Lieferung verfolgen kann. Die Auswahl der Speisen erfolgt über virtuelle Darstellungen derselben (z.B. auf einem Teller am Schreibtisch). Wir bauen ein automatisches System, wo jedes Restaurant sich einfach anmelden kann und wir übernehmen die Lieferung (durch Studenten, die mit einer App den kürzesten Weg angezeigt bekommen und mit dem eigenen Auto für alle Restaurants im Einzugsgebiet gleichermaßen arbeiten). 
- Beispiel 2: Beim virtuellen Kühlschrank stelle ich ein, welche Produkte in welcher Menge im echten Kühlschrank aufzufinden sein sollen - und bevor sie vollständig aufgebraucht werden (oder spätestens danach), wird automatisch Nachschub geliefert. Dasselbe für den Inhalt von Regalen, für Drogerieprodukte, Tierfutter etc.
- Es gibt endlos viele Möglichkeiten, mit einer virtuellen Welt Geld zu verdienen, aber diese langfristigen Ideen (Beispiel 1 und 2) fließen nicht in unsere Prognose ein, dafür sind sie viel zu zukunftsfern. Daher rechnen wir zunächst mit 1 Cent bis knapp 25 Cent pro User und Monat, bzw. mit einer Steigerung um 2 Cent pro Quartal.</t>
        </r>
      </text>
    </comment>
    <comment ref="D25" authorId="0">
      <text>
        <r>
          <rPr>
            <b/>
            <sz val="9"/>
            <color indexed="81"/>
            <rFont val="Tahoma"/>
            <family val="2"/>
          </rPr>
          <t>Michael Schöggl:</t>
        </r>
        <r>
          <rPr>
            <sz val="9"/>
            <color indexed="81"/>
            <rFont val="Tahoma"/>
            <family val="2"/>
          </rPr>
          <t xml:space="preserve">
- Der Schätzwert zu Frage 7 (Einnahmen durch 2.3, 2.4 und 2.5) wird gleichmäßig auf 2.3, 2.4 und 2.5 aufgeteilt. In Wirklichkeit wird die Verteilung zwar ziemlich sicher nicht gleichmäßig sein, aber für das Ergebnis ist das irrelevant.</t>
        </r>
      </text>
    </comment>
    <comment ref="A26" authorId="0">
      <text>
        <r>
          <rPr>
            <b/>
            <sz val="9"/>
            <color indexed="81"/>
            <rFont val="Tahoma"/>
            <family val="2"/>
          </rPr>
          <t>Michael Schöggl:</t>
        </r>
        <r>
          <rPr>
            <sz val="9"/>
            <color indexed="81"/>
            <rFont val="Tahoma"/>
            <family val="2"/>
          </rPr>
          <t xml:space="preserve">
- Medien können ein monatliches Abo bezahlen, um an Big Data Informationen zu kommen.
- Zu Beginn werden nur wenige Medien dieses Abo verwenden, aber je mehr User wir haben, umso mehr Medien werden in connect vertreten sein und umso mehr Medien werden auch diese verhältnismäßig moderaten Kosten gerne bezahlen, um mehr Informationen über ihre Rezipienten zu erhalten. 
- Diese Informationen helfen den Medien, die Werbeerträge zu steigern, weil sie die gewonnenen Informationen auch ihren Werbepartnern weitergeben können. Somit macht sich ein Abo auf jeden Fall schnell bezahlt.
- Wir würden die Kosten so gestalten, dass sie basierend auf Erfahrungswerten den Medien einen netten Gewinn ermöglichen, wenn sie die User-Daten an die Werbepartner weiterverkaufen. 
- Wir rechnen damit, dass jedem Werbepartner die anonymisierten Daten über jeden erreichten Konsumenten rund 0,5 Cent wert sind (also 500 Euro bei 100.000 erreichten Kunden), wir davon 0,2 Cent verlangen können (0,3 Cent gehen an die Medienpartner und motivieren sie zu diesem "Abo") und dass unsere User im Monat rund 50 Werbungen in connect konsumieren. Das bedeutet Einnahmen in Höhe von rund 10 Cent pro User und Monat langfristig. 
</t>
        </r>
      </text>
    </comment>
    <comment ref="B26" authorId="0">
      <text>
        <r>
          <rPr>
            <b/>
            <sz val="9"/>
            <color indexed="81"/>
            <rFont val="Tahoma"/>
            <family val="2"/>
          </rPr>
          <t xml:space="preserve">Michael Schöggl:
Wieviel € pro Monat und User verdienen wir im Schnitt mit unserem Medien-Abo?
</t>
        </r>
        <r>
          <rPr>
            <u/>
            <sz val="9"/>
            <color indexed="81"/>
            <rFont val="Tahoma"/>
            <family val="2"/>
          </rPr>
          <t xml:space="preserve">
Begründung für diesen Wert</t>
        </r>
        <r>
          <rPr>
            <sz val="9"/>
            <color indexed="81"/>
            <rFont val="Tahoma"/>
            <family val="2"/>
          </rPr>
          <t xml:space="preserve">: </t>
        </r>
        <r>
          <rPr>
            <b/>
            <sz val="9"/>
            <color indexed="81"/>
            <rFont val="Tahoma"/>
            <family val="2"/>
          </rPr>
          <t xml:space="preserve">
</t>
        </r>
        <r>
          <rPr>
            <sz val="9"/>
            <color indexed="81"/>
            <rFont val="Tahoma"/>
            <family val="2"/>
          </rPr>
          <t xml:space="preserve">
- Wir rechnen damit, dass jedem Werbepartner die anonymisierten Daten über jeden erreichten Konsumenten rund 0,5 Cent wert sind (also 500 Euro bei 100.000 erreichten Kunden). 
- Davon sind 0,2 Cent für uns und 0,3 Cent gehen an die Medienpartner und motivieren sie zu Abschluss dieses "Abos".
- Unsere User werden im Monat im Schnitt zwischen 50 (Beginn) und 300 (langfristig) Werbbeiträge in Medien (Video, Audio, Internet, Print) konsumieren. Das bedeutet Einnahmen in Höhe von rund 10 bis 60 Cent pro Monat und User. 
- Für unsere Prognose starten wir vorsichtig mit 0,01 €, weil es eine Zeit dauern wird, bis unsere Medienpartner vom Abo überzeugt sind und es genügend Medien-Inhalte in connect gibt, sodass auch genügend Werbung darin enthalten ist, um diese Werte (50 pro Monat) zu erreichen.</t>
        </r>
      </text>
    </comment>
    <comment ref="C26" authorId="0">
      <text>
        <r>
          <rPr>
            <b/>
            <sz val="9"/>
            <color indexed="81"/>
            <rFont val="Tahoma"/>
            <family val="2"/>
          </rPr>
          <t>Michael Schöggl:</t>
        </r>
        <r>
          <rPr>
            <sz val="9"/>
            <color indexed="81"/>
            <rFont val="Tahoma"/>
            <family val="2"/>
          </rPr>
          <t xml:space="preserve">
</t>
        </r>
        <r>
          <rPr>
            <b/>
            <sz val="9"/>
            <color indexed="81"/>
            <rFont val="Tahoma"/>
            <family val="2"/>
          </rPr>
          <t>Um wieviel € pro Quartal werden sich die monatlichen Einnahmen durch das Medien-Abo erhöhen?</t>
        </r>
        <r>
          <rPr>
            <sz val="9"/>
            <color indexed="81"/>
            <rFont val="Tahoma"/>
            <family val="2"/>
          </rPr>
          <t xml:space="preserve">
</t>
        </r>
        <r>
          <rPr>
            <u/>
            <sz val="9"/>
            <color indexed="81"/>
            <rFont val="Tahoma"/>
            <family val="2"/>
          </rPr>
          <t>Begründung für diesen Wert</t>
        </r>
        <r>
          <rPr>
            <sz val="9"/>
            <color indexed="81"/>
            <rFont val="Tahoma"/>
            <family val="2"/>
          </rPr>
          <t>:
- Wir schätzen hier sehr vorsichtig, auch wenn wir langfristig bis zu 60 Cent pro User und Monat durch diesen Zugang einnehmen könnten. 
- Der Erfolg dieses Geschäftsmodells ist viel stärker, als der unserer anderen Einnahmequellen unsicher und schwer durch Vergleiche mit anderen Produkten abschätzbar. Dass ein Freemium-Modell funktioniert, haben tausende Apps bewiesen, ebenso, dass Product Placement funktionieren wird. Big Data hat zwar auch eine erfolgreiche Geschichte, aber in dieser Zugang über ein Abosystem ist relativ neu. 
- Es ist gut möglich, dass wir über dieses Geschäftsmodell deutlich mehr einnehmen können, als nun prognostiziert, aber es ist ebenso gut möglich, dass der Zugang überhaupt nicht funktioniert. Immerhin ist die Medienschnittstelle grundsätzlich kostenlos und ein optionales Abo mit Extrakosten muss sich erst durchsetzen. Der Mehrwert von Big Data Informationen für die Werbetreibenden zuerst und dann in Folge für die Medienpartner müsste erst bewiesen werden.</t>
        </r>
      </text>
    </comment>
    <comment ref="A27" authorId="0">
      <text>
        <r>
          <rPr>
            <b/>
            <sz val="9"/>
            <color indexed="81"/>
            <rFont val="Tahoma"/>
            <family val="2"/>
          </rPr>
          <t>Michael Schöggl:</t>
        </r>
        <r>
          <rPr>
            <sz val="9"/>
            <color indexed="81"/>
            <rFont val="Tahoma"/>
            <family val="2"/>
          </rPr>
          <t xml:space="preserve">
- Sehr langfristig (geplant ab 2021) können wir in der immer größer werdenden connect-Welt (erweitert durch Inhalte von Partnern, Drittanbietern und später vllt sogar der User selbst) auch virtuelle Grundstücke (z.B. an VR-Shops aber auch an User) verkaufen. 
- Ähnliches hat Second Life gemacht und das Interesse für Businesspartner war größer, als der tatsächliche Nutzen. Daher werden nun Business-Partner durch diese Lektion eher vorsichtig sein und es wird etwas dauern, bis sich dieser Zugang durchsetzt. 
- Wir listen hier dieses Geschäftsmodell auf, um bei sehr optimistischen Prognosen Einnahmen darstellen zu können, 
rechnen in einer realistischen Prognose aber nicht damit (0). 
- Zwischen der ersten Facebook Homepage und dem, was Facebook heute ist, besteht ein riesen Unterschied. Und auch connect wird sich bei Erfolg gewaltig weiterentwickeln und bestimmt längerfristig neue Geschäftsmodelle wie jenes des Verkaufs von virtuellen Grundstücken, bezahlten Teleportationen in einer riesigen Welt oder dem Kauf von Avataren (Spielerfiguren) oder deren Ausrüstung eröffnen. Aber es ist zu gewagt, diese Einnahmen jetzt schon unter der Bezeichnung "realistische Prognose" abzuschätzen.</t>
        </r>
      </text>
    </comment>
    <comment ref="B27" authorId="0">
      <text>
        <r>
          <rPr>
            <b/>
            <sz val="9"/>
            <color indexed="81"/>
            <rFont val="Tahoma"/>
            <family val="2"/>
          </rPr>
          <t>Michael Schöggl:</t>
        </r>
        <r>
          <rPr>
            <sz val="9"/>
            <color indexed="81"/>
            <rFont val="Tahoma"/>
            <family val="2"/>
          </rPr>
          <t xml:space="preserve">
</t>
        </r>
        <r>
          <rPr>
            <b/>
            <sz val="9"/>
            <color indexed="81"/>
            <rFont val="Tahoma"/>
            <family val="2"/>
          </rPr>
          <t>Wieviel € könnten wir langfristig mit dem Verkauf von virtuellen Grundstücken, Avataren, Ausrüstungen oder Teleportationen in einer riesigen VR-Welt verdienen?</t>
        </r>
        <r>
          <rPr>
            <sz val="9"/>
            <color indexed="81"/>
            <rFont val="Tahoma"/>
            <family val="2"/>
          </rPr>
          <t xml:space="preserve">
</t>
        </r>
        <r>
          <rPr>
            <u/>
            <sz val="9"/>
            <color indexed="81"/>
            <rFont val="Tahoma"/>
            <family val="2"/>
          </rPr>
          <t>Begründung für diesen Wert</t>
        </r>
        <r>
          <rPr>
            <sz val="9"/>
            <color indexed="81"/>
            <rFont val="Tahoma"/>
            <family val="2"/>
          </rPr>
          <t xml:space="preserve">:
- Zu viele Voraussetzungen, zeitlich zu weit entfernt, zu viele Unsicherheiten, zu wenig Vergleiche - daher gehen wir für die realistische Prognose von 0 Einnahmen aus. </t>
        </r>
      </text>
    </comment>
    <comment ref="C27" authorId="0">
      <text>
        <r>
          <rPr>
            <b/>
            <sz val="9"/>
            <color indexed="81"/>
            <rFont val="Tahoma"/>
            <family val="2"/>
          </rPr>
          <t>Michael Schöggl:</t>
        </r>
        <r>
          <rPr>
            <sz val="9"/>
            <color indexed="81"/>
            <rFont val="Tahoma"/>
            <family val="2"/>
          </rPr>
          <t xml:space="preserve">
</t>
        </r>
        <r>
          <rPr>
            <b/>
            <sz val="9"/>
            <color indexed="81"/>
            <rFont val="Tahoma"/>
            <family val="2"/>
          </rPr>
          <t>Um wieviel € pro Quartal könnten sich die Einnahmen durch den Verkauf von virtuellen Grundstücken, Avataren, Ausrüstungen oder Teleportationen in einer riesigen VR-Welt erhöhen?</t>
        </r>
        <r>
          <rPr>
            <sz val="9"/>
            <color indexed="81"/>
            <rFont val="Tahoma"/>
            <family val="2"/>
          </rPr>
          <t xml:space="preserve">
</t>
        </r>
        <r>
          <rPr>
            <u/>
            <sz val="9"/>
            <color indexed="81"/>
            <rFont val="Tahoma"/>
            <family val="2"/>
          </rPr>
          <t>Begründung für diesen Wert</t>
        </r>
        <r>
          <rPr>
            <sz val="9"/>
            <color indexed="81"/>
            <rFont val="Tahoma"/>
            <family val="2"/>
          </rPr>
          <t xml:space="preserve">:
- Zu viele Annahmen, zeitlich zu weit entfernt, zu viele Unsicherheiten, zu wenig Vergleiche - daher gehen wir für die realistische Prognose von 0 Einnahmen aus. </t>
        </r>
      </text>
    </comment>
    <comment ref="A28" authorId="0">
      <text>
        <r>
          <rPr>
            <b/>
            <sz val="9"/>
            <color indexed="81"/>
            <rFont val="Tahoma"/>
            <family val="2"/>
          </rPr>
          <t>Michael Schöggl:</t>
        </r>
        <r>
          <rPr>
            <sz val="9"/>
            <color indexed="81"/>
            <rFont val="Tahoma"/>
            <family val="2"/>
          </rPr>
          <t xml:space="preserve">
- User werden ab ca. 2022 die Möglichkeit haben, eigene Medien "zu verlegen". Es können sich Gruppen bilden, die gemeinsam einen Fernseh- oder Radiokanal "bespielen", es wird die Möglichkeit geben, themenspezifische Artikel zu schreiben, die dann in virtuellen Zeitungen veröffentlicht werden, etc. 
- Wir überlasses es komplett dem freien Markt, welche neuen Medien mit welchen Inhalten oder Mitarbeitern und welchen Regeln (unentgeltlich, bezahlt, etc.) entstehen. Wir werden einen Baukasten anbieten, damit alle Einstellungen möglich sind - von Bezahlung pro Artikel bis hin zu Systemen, bei denen jeder Medienmitarbeiter abhängig von der Reichweite, Beliebtheit oder Bewertung seiner Beiträge einen Anteil der Werbeeinnahmen erhält.
- Nicht nur, aber vor allem in Video-Medien (Fernsehsender, Videoblog, etc.) werden unsere User bei Interesse Werbung schalten können und damit Geld verdienen können (vgl. YouTube, nur nicht als One-Man-Show, sondern als freies Unternehmen mit automatisierten Regeln). 
- Wir würden einen Anteil der Werbeeinnahmen in Höhe von ca. 30% verlangen. Eventuell sogar deutlich mehr, wie bei YouTube, wo keine/wenig Transparenz herrscht, aber die YouTuber bestimmt deutlich weniger als 70% erhalten. 
- Vergleiche mit YouTube und Co zeigen, dass wir bei starkem Interesse an diesen "frei gewachsenen Medien" auch rund 0,3 bis 2 Euro pro User und Monat einnehmen könnten, aber dieses Geschäftsmodell ist zu weit von der Realisierung entfernt, um in der realistischen Prognose Einnahmen zu erwarten.</t>
        </r>
      </text>
    </comment>
    <comment ref="B28" authorId="0">
      <text>
        <r>
          <rPr>
            <b/>
            <sz val="9"/>
            <color indexed="81"/>
            <rFont val="Tahoma"/>
            <family val="2"/>
          </rPr>
          <t>Michael Schöggl:</t>
        </r>
        <r>
          <rPr>
            <sz val="9"/>
            <color indexed="81"/>
            <rFont val="Tahoma"/>
            <family val="2"/>
          </rPr>
          <t xml:space="preserve">
</t>
        </r>
        <r>
          <rPr>
            <b/>
            <sz val="9"/>
            <color indexed="81"/>
            <rFont val="Tahoma"/>
            <family val="2"/>
          </rPr>
          <t xml:space="preserve">
Wieviel € pro User nehmen wir im Monat durch einen Anteil der Werbeeinnahmen der usergenerierten Medien ein?</t>
        </r>
        <r>
          <rPr>
            <sz val="9"/>
            <color indexed="81"/>
            <rFont val="Tahoma"/>
            <family val="2"/>
          </rPr>
          <t xml:space="preserve">
</t>
        </r>
        <r>
          <rPr>
            <u/>
            <sz val="9"/>
            <color indexed="81"/>
            <rFont val="Tahoma"/>
            <family val="2"/>
          </rPr>
          <t>Begründung für diesen Wert</t>
        </r>
        <r>
          <rPr>
            <sz val="9"/>
            <color indexed="81"/>
            <rFont val="Tahoma"/>
            <family val="2"/>
          </rPr>
          <t>:
- Dieses Geschäftsmodell (vergleichbar mit YouTube bzw. Twitch, nur erweitert auf Audio, Print, Internet, VR und erweitert um ganze Unternehmenstrukturen statt Einzel-Accounts) ist noch zu weit von der Realisierung entfernt (ab 2022), daher gehen wir aktuell von 0 Einnahmen aus.</t>
        </r>
      </text>
    </comment>
    <comment ref="C28" authorId="0">
      <text>
        <r>
          <rPr>
            <b/>
            <sz val="9"/>
            <color indexed="81"/>
            <rFont val="Tahoma"/>
            <family val="2"/>
          </rPr>
          <t>Michael Schöggl:</t>
        </r>
        <r>
          <rPr>
            <sz val="9"/>
            <color indexed="81"/>
            <rFont val="Tahoma"/>
            <family val="2"/>
          </rPr>
          <t xml:space="preserve">
</t>
        </r>
        <r>
          <rPr>
            <b/>
            <sz val="9"/>
            <color indexed="81"/>
            <rFont val="Tahoma"/>
            <family val="2"/>
          </rPr>
          <t>Um wieviel € pro Quartal wird sich der Anteil an den monatlichen Werbeeinnahmen durch usergenerierte Medien erhöhen?</t>
        </r>
        <r>
          <rPr>
            <sz val="9"/>
            <color indexed="81"/>
            <rFont val="Tahoma"/>
            <family val="2"/>
          </rPr>
          <t xml:space="preserve">
</t>
        </r>
        <r>
          <rPr>
            <u/>
            <sz val="9"/>
            <color indexed="81"/>
            <rFont val="Tahoma"/>
            <family val="2"/>
          </rPr>
          <t>Begründung für diesen Wert</t>
        </r>
        <r>
          <rPr>
            <sz val="9"/>
            <color indexed="81"/>
            <rFont val="Tahoma"/>
            <family val="2"/>
          </rPr>
          <t>:
- Dieses Geschäftsmodell (vergleichbar mit YouTube bzw. Twitch, nur erweitert auf Audio, Print, Internet, VR und erweitert um ganze Unternehmenstrukturen statt Einzel-Accounts) ist noch zu weit von der Realisierung entfernt (ab 2022), daher gehen wir aktuell von 0 Einnahmen aus.</t>
        </r>
      </text>
    </comment>
    <comment ref="A29" authorId="0">
      <text>
        <r>
          <rPr>
            <b/>
            <sz val="9"/>
            <color indexed="81"/>
            <rFont val="Tahoma"/>
            <family val="2"/>
          </rPr>
          <t>Michael Schöggl:</t>
        </r>
        <r>
          <rPr>
            <sz val="9"/>
            <color indexed="81"/>
            <rFont val="Tahoma"/>
            <family val="2"/>
          </rPr>
          <t xml:space="preserve">
- Wir haben die Möglichkeit, z.B. Product Placement Partnern anzubieten, dass diese für eine einmalige Pauschale für einen gewissen Zeitraum oder eine konkret festgelegte Werbeleistung ihre Product Placement Werbung kostenlos erhalten. 
- Für die Unternehmen würde sich das eventuell lohnen, weil sie so - durch ihren Vertrauensvorschuss in unsere Leistung - ein deutlich günstigeres, besseres Angebot erhalten könnten, als andere Partner. 
- Für uns würden diese höheren Einnahmen die Basis für mehr Werbekapital und dadurch mehr Wachstum bieten und sich insofern auch lohnen, auch wenn wir langfristig rein durch die Product Placement Gebühr weniger einnehmen sollten. Sobald wir genügend User haben, dass das Vertrauen in unsere Plattform vorhanden ist, wäre dieser Zugang eine gute Lösung um schnell Einnahmen zu generieren, wenn dies aus irgendwelchen Gründen Sinn macht bzw. wir schnell Kapital benötigen. 
- Diese Zeile gilt auch für Einnahmen durch einmalige Werbeaktionen (z.B. Flyer am virtuellen Schreibtisch, Spiderman schwingt durch die virtuelle Stadt und klatscht gegen das Fenster, Trailer von Filmen am virtuellen Fernseher anzeigen, etc.).
- Wir haben hier keinen Wert eingesetzt, beim Eintragen eines Wertes bitte beachten, dass dieser ausnahmsweise für das gesamte Quartal und nicht für jeden Monat gilt. </t>
        </r>
      </text>
    </comment>
    <comment ref="B29" authorId="0">
      <text>
        <r>
          <rPr>
            <b/>
            <sz val="9"/>
            <color indexed="81"/>
            <rFont val="Tahoma"/>
            <family val="2"/>
          </rPr>
          <t xml:space="preserve">Michael Schöggl:
</t>
        </r>
        <r>
          <rPr>
            <sz val="9"/>
            <color indexed="81"/>
            <rFont val="Tahoma"/>
            <family val="2"/>
          </rPr>
          <t xml:space="preserve">
Bitte die einmaligen Einnahmen durch Partner nur jeweils in der entsprechenden Spalte für die Schätzwerte des jeweiligen Quartals eintragen. Der eingetragene Wert gilt dann für das gesamte Quartal und nicht monatlich.</t>
        </r>
      </text>
    </comment>
    <comment ref="D29" authorId="0">
      <text>
        <r>
          <rPr>
            <b/>
            <sz val="9"/>
            <color indexed="81"/>
            <rFont val="Tahoma"/>
            <family val="2"/>
          </rPr>
          <t xml:space="preserve">Michael Schöggl:
</t>
        </r>
        <r>
          <rPr>
            <sz val="9"/>
            <color indexed="81"/>
            <rFont val="Tahoma"/>
            <family val="2"/>
          </rPr>
          <t xml:space="preserve">
Bitte die einmaligen Einnahmen durch Partner nur jeweils in der entsprechenden Spalte für die Schätzwerte des jeweiligen Quartals eintragen. Der eingetragene Wert gilt dann für das gesamte Quartal und nicht monatlich.</t>
        </r>
      </text>
    </comment>
    <comment ref="A30" authorId="0">
      <text>
        <r>
          <rPr>
            <b/>
            <sz val="9"/>
            <color indexed="81"/>
            <rFont val="Tahoma"/>
            <family val="2"/>
          </rPr>
          <t>Michael Schöggl:</t>
        </r>
        <r>
          <rPr>
            <sz val="9"/>
            <color indexed="81"/>
            <rFont val="Tahoma"/>
            <family val="2"/>
          </rPr>
          <t xml:space="preserve">
Achtung: Bei den Schätzwerten wurden hier die Summen der jeweiligen </t>
        </r>
        <r>
          <rPr>
            <u/>
            <sz val="9"/>
            <color indexed="81"/>
            <rFont val="Tahoma"/>
            <family val="2"/>
          </rPr>
          <t>Quartale</t>
        </r>
        <r>
          <rPr>
            <sz val="9"/>
            <color indexed="81"/>
            <rFont val="Tahoma"/>
            <family val="2"/>
          </rPr>
          <t xml:space="preserve"> angegeben, auch wenn in den Zeilen darüber die Werte pro Monat stehen!
Allgemein gilt: Die Summenwerte mit dunklerem Hintergrund beziehen sich auf die Quartale, die Werte auf hellerem Hintergrund auf die Monate.</t>
        </r>
      </text>
    </comment>
    <comment ref="A32" authorId="0">
      <text>
        <r>
          <rPr>
            <b/>
            <sz val="9"/>
            <color indexed="81"/>
            <rFont val="Tahoma"/>
            <family val="2"/>
          </rPr>
          <t>Michael Schöggl:</t>
        </r>
        <r>
          <rPr>
            <sz val="9"/>
            <color indexed="81"/>
            <rFont val="Tahoma"/>
            <family val="2"/>
          </rPr>
          <t xml:space="preserve">
- Die Schätzung der Kosten ist in manchen Bereichen vermutlich deutlich zu hoch, aber das soll uns einen Sicherheitsspielraum in der Prognose gegeben und nicht so missverstanden werden, dass wir nicht sparsam wirtschaften wollen. 
- Je nach Erfolg (primär gemessen durch die Unterschiede zwischen Realität und Prognose) werden wir bei einer schlechten Entwicklung bei den Ausgaben größere Einsparungen vornehmen, schließlich haben wir beinahe nur Personalkosten, bzw. allgemein sehr flexible Kosten, die mit dem Personal zusammenhängen. 
- Im Worst Case Szenario könnten wir mit weniger als 10.000 € pro Monat "überleben" und die Zeit mit der eigenen, kaum bezahlten Arbeit ausharren, bis unsere Userzahlen und damit auch die Einnahmen entsprechend ansteigen. Wirklich notwendig sind nur die Kosten für einen Software-Entwickler, die Server-Kosten (rund 300 € pro Monat) und die Lebenserhaltungskosten für den Geschäftsführer.
- Im positiven Fall hingegen könnten wir die Ausgaben so stark durch neue Personalkosten anheben, dass wir knapp keine Gewinne machen, damit Steuern sparen und unseren Konkurrenzvorsprung noch stärker ausbauen. Wenn sich abzeichnet, dass jeder neue User deutlich mehr Geld einbringt, als er kostet, wird es vermutlich Sinn machen, auf frühe Gewinne zu verzichten, um weitere Geschäftsmodelle früher aufzubauen, den Markt zu erobern und den Abstand zur Konkurrenz zu vergrößern. Mit mehr Ausgaben können auch mehr In-App-Inhalte geschaffen, oder durch (mehr) Sales-Mitarbeiter mehr Partner oder Medien akquiriert werden, was sehr rasch deutlich mehr bringen würde, als es gekostet hat. 
- Daher - sowohl was positive, als auch negative Entwicklungen betrifft - sind die Ausgaben pro Monat nur als grober Richtwert zu verstehen. Eine Umsatzprognose soll nur eine Hilfestellung sein, aber nicht davon abhalten, je nach Bedarf und Entwicklung flexibel auf die Situation eingehen zu können, um die bestmöglichen Ergebnisse zu erzielen. Durch die einfache Anpassbarkeit der Werte in diesem Spritesheet lassen sich sehr einfach verschiedene Szenarien durchspielen, sobald wir mehr konkrete, reale Werte gemessen haben. Gerade auch was Werbeausgaben betrifft (siehe 3.13 und 3.14) hängt die beste Strategie eindeutig davon ab, wie viel uns jeder neue User kostet (3.12) und wieviel Einnahmen wir mit ihm generieren. Ein schneller Start kann von unvergleichlicher Bedeutung für den Erfolg des Unternehmens sein.</t>
        </r>
      </text>
    </comment>
    <comment ref="A33" authorId="0">
      <text>
        <r>
          <rPr>
            <b/>
            <sz val="9"/>
            <color indexed="81"/>
            <rFont val="Tahoma"/>
            <family val="2"/>
          </rPr>
          <t xml:space="preserve">Michael Schöggl:
</t>
        </r>
        <r>
          <rPr>
            <sz val="9"/>
            <color indexed="81"/>
            <rFont val="Tahoma"/>
            <family val="2"/>
          </rPr>
          <t xml:space="preserve">
- Die Anlageinvestitionen (Büroeinrichtung, EDV, etc.) wurden mit 4%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3" authorId="0">
      <text>
        <r>
          <rPr>
            <b/>
            <sz val="9"/>
            <color indexed="81"/>
            <rFont val="Tahoma"/>
            <family val="2"/>
          </rPr>
          <t xml:space="preserve">Michael Schöggl:
</t>
        </r>
        <r>
          <rPr>
            <sz val="9"/>
            <color indexed="81"/>
            <rFont val="Tahoma"/>
            <family val="2"/>
          </rPr>
          <t xml:space="preserve">
</t>
        </r>
        <r>
          <rPr>
            <b/>
            <sz val="9"/>
            <color indexed="81"/>
            <rFont val="Tahoma"/>
            <family val="2"/>
          </rPr>
          <t>Wie hoch sind die monatlichen Mindestkosten für Anlageinvestitionen?</t>
        </r>
        <r>
          <rPr>
            <sz val="9"/>
            <color indexed="81"/>
            <rFont val="Tahoma"/>
            <family val="2"/>
          </rPr>
          <t xml:space="preserve">
</t>
        </r>
        <r>
          <rPr>
            <u/>
            <sz val="9"/>
            <color indexed="81"/>
            <rFont val="Tahoma"/>
            <family val="2"/>
          </rPr>
          <t>Begründung für diesen Wert</t>
        </r>
        <r>
          <rPr>
            <sz val="9"/>
            <color indexed="81"/>
            <rFont val="Tahoma"/>
            <family val="2"/>
          </rPr>
          <t>:
- Hier haben wir keinen Wert eingetragen, bisher haben sich 3-4% der Personalkosten sehr gut bewehrt. Die Kosten pro Mitarbeiter für einen Arbeitsplatz lagen bei günstigen 1500 €, diese Kosten würden zwar steigen, aber gleichzeitig auch die Gehälter, weshalb sich das wieder ausgleicht. 
Längerfristig wird es bei Erfolg natürlich Sinn machen, ein eigenes Büro zu bauen/kaufen, diese Kosten sind hier nicht berücksichtigt, u.a. auch, weil es dabei um Abschreibposten mit einem bleibenden Verkaufswert handeln würde, die am Ende auch nicht (viel) teurer kommen, als Miete. 
Die Kosten in den Spalten rechts sind monatlich, auf ein Jahr gerechnet werden sie realistisch.</t>
        </r>
      </text>
    </comment>
    <comment ref="C33" authorId="0">
      <text>
        <r>
          <rPr>
            <b/>
            <sz val="9"/>
            <color indexed="81"/>
            <rFont val="Tahoma"/>
            <family val="2"/>
          </rPr>
          <t>Michael Schöggl:</t>
        </r>
        <r>
          <rPr>
            <sz val="9"/>
            <color indexed="81"/>
            <rFont val="Tahoma"/>
            <family val="2"/>
          </rPr>
          <t xml:space="preserve">
</t>
        </r>
        <r>
          <rPr>
            <b/>
            <sz val="9"/>
            <color indexed="81"/>
            <rFont val="Tahoma"/>
            <family val="2"/>
          </rPr>
          <t>Wieviel Prozent der Personalkosten sind für Anlageinvestitionen geplant?</t>
        </r>
        <r>
          <rPr>
            <sz val="9"/>
            <color indexed="81"/>
            <rFont val="Tahoma"/>
            <family val="2"/>
          </rPr>
          <t xml:space="preserve">
</t>
        </r>
        <r>
          <rPr>
            <u/>
            <sz val="9"/>
            <color indexed="81"/>
            <rFont val="Tahoma"/>
            <family val="2"/>
          </rPr>
          <t>Begründung für diesen Wert</t>
        </r>
        <r>
          <rPr>
            <sz val="9"/>
            <color indexed="81"/>
            <rFont val="Tahoma"/>
            <family val="2"/>
          </rPr>
          <t>:
- Aufgrund bisherigen Erfahrungswerte gehen wir von rund 4 % der Personalkosten für Anlageinvestitionen aus (ca. 1500 € bisher pro Arbeitsplatz für Möbel, PC, Monitor, etc.).
- Wenn connect erfolgreich genug ist, wird es irgendwann Sinn machen, ein eigenes Büro zu kaufen oder zu bauen. Aber dann müssten die entsprechenden Werte händisch rechts eingetragen werden, sofern sie nicht als Abschreibung innerhalb der x % pro Personalkosten bleiben.</t>
        </r>
      </text>
    </comment>
    <comment ref="A34" authorId="0">
      <text>
        <r>
          <rPr>
            <b/>
            <sz val="9"/>
            <color indexed="81"/>
            <rFont val="Tahoma"/>
            <family val="2"/>
          </rPr>
          <t>Michael Schöggl:</t>
        </r>
        <r>
          <rPr>
            <sz val="9"/>
            <color indexed="81"/>
            <rFont val="Tahoma"/>
            <family val="2"/>
          </rPr>
          <t xml:space="preserve">
Die Personal- und Outsourcingkosten sind absolut flexibel. Wir könnten auch mit einem Team aus 1,5 Mitarbeitern (1 Senior Developer und 1 Teilzeit-Grafiker) unsere App instandhalten und langsam weiterentwickeln (Kosten: ca. 8.000 € monatlich).
Natürlich macht es aber Sinn, bei positiver wirtschaftlicher Entwicklung das Tempo voranzutreiben, vor allem, wenn jeder neue Mitarbeiter mehr Geld einbringt, als er an Kosten verursacht (z.B. Sales-Mitarbeiter, die lukrative B2B-Partner gewinnen). 
Die hier veranschlagten Personal- und Outsourcing-Kosten richten sich im 1. und 2. Quartal 2020 daran, dass sich connect wie geplant bis Mitte 2020 fertigstellen lässt (rund 30.000 € pro Monat). 
Ab Quartal 3 2020 könnten die Personal- und Outsourcingkosten (bei Bedarf) wieder reduziert werden, bei positiver Entwicklung jedoch würden wir sie konstant um x Prozent der Einnahmen anheben, um unseren Wettbewerbsvorteil zu verteidigen und connect rasch zu verbessern.
Mehr Einnahmen bedeuten in unserem Fall zudem mehr User bzw. B2B-Partner und insofern auch höhere Personal-Kosten für z.B. Support oder Sales. Wir wollen zwar möglichst alle Prozesse automatisieren, aber es macht natürlich Sinn, trotzdem mehr Geld in die Entwicklung zu stecken, wenn der wirtschaftliche Erfolg erkennbar wird. Darum wurden in der Prognose die Personalkosten ab 2021 auch direkt von den Einnahmen abhängig gemacht.</t>
        </r>
      </text>
    </comment>
    <comment ref="B34" authorId="0">
      <text>
        <r>
          <rPr>
            <b/>
            <sz val="9"/>
            <color indexed="81"/>
            <rFont val="Tahoma"/>
            <family val="2"/>
          </rPr>
          <t>Michael Schöggl:</t>
        </r>
        <r>
          <rPr>
            <sz val="9"/>
            <color indexed="81"/>
            <rFont val="Tahoma"/>
            <family val="2"/>
          </rPr>
          <t xml:space="preserve">
</t>
        </r>
        <r>
          <rPr>
            <b/>
            <sz val="9"/>
            <color indexed="81"/>
            <rFont val="Tahoma"/>
            <family val="2"/>
          </rPr>
          <t xml:space="preserve">Um wieviel Prozent der Einnahmen steigen die Personalkosten gegenüber dem Vormonat? 
</t>
        </r>
        <r>
          <rPr>
            <u/>
            <sz val="9"/>
            <color indexed="81"/>
            <rFont val="Tahoma"/>
            <family val="2"/>
          </rPr>
          <t>Begründung für diesen Wert</t>
        </r>
        <r>
          <rPr>
            <sz val="9"/>
            <color indexed="81"/>
            <rFont val="Tahoma"/>
            <family val="2"/>
          </rPr>
          <t>:
- connect könnte mit gleichbleibenden 20.000 € pro Monat an Personalkosten (oder sogar weniger) weiterentwickelt werden. Wir sind bezüglich Personalkosten äußerst flexibel. Selbst sehr erfolgreiche Apps wie WhatsApp hatten jahrelang nur eine Handvoll Mitarbeiter.
- Weil wir aber im Gegensatz zu z.B. WhatsApp sehr schnell Einnahmen haben werden, unseren Wettbewerbsvorteil verteidigen müssen und connect kontinuierlich weiterentwickeln wollen, rechnen wir mit 10% aller Einnahmen an zusätzlichen Personalkosten. Dieser Werte kann beliebig angepasst werden, je nachdem, wie rasch wir connect weiterentwickeln wollen. Zur Leistung unserer Angestellten kommen noch die Leistungen unserer Outsourcing-Partner (siehe 3.11) dazu. 
- Die Berechnung der Personalkosten prozentual zu den Einnahmen erlaubt uns finanzielle Entscheidungen ohne großes Risiko. 
- Auch die Werbekosten und die Outsourcing-Kosten werden prozentual gerechnet, ebenso indirekt Anlageinvestitionen, Material und Betriebsausgaben. Die prozentualen Ausgaben sollen dauerhaft unter den Einnahmen bleiben. Bei den Einnahmen erwarten wir (bis auf übliche jahreszeitabhängige Schwankungen) wenig Fluktuationen bzw. Überraschungen, weil sich durch die Masse der User Zufallseffekte weitestgehend "raus-mitteln". Übrig bleiben primär systematische Fehler, wenn wir es z.B. verabsäumen, neue, attraktive In-App-Käufe nachzuliefern und diese Wahrnehmung von den meisten Usern gleichermaßen geteilt wird.</t>
        </r>
      </text>
    </comment>
    <comment ref="C34" authorId="0">
      <text>
        <r>
          <rPr>
            <b/>
            <sz val="9"/>
            <color indexed="81"/>
            <rFont val="Tahoma"/>
            <family val="2"/>
          </rPr>
          <t>Michael Schöggl:</t>
        </r>
        <r>
          <rPr>
            <sz val="9"/>
            <color indexed="81"/>
            <rFont val="Tahoma"/>
            <family val="2"/>
          </rPr>
          <t xml:space="preserve">
</t>
        </r>
        <r>
          <rPr>
            <b/>
            <sz val="9"/>
            <color indexed="81"/>
            <rFont val="Tahoma"/>
            <family val="2"/>
          </rPr>
          <t xml:space="preserve">Um wieviel Prozent pro Quartal werden die prozentualen Personalsausgaben reduziert? </t>
        </r>
        <r>
          <rPr>
            <sz val="9"/>
            <color indexed="81"/>
            <rFont val="Tahoma"/>
            <family val="2"/>
          </rPr>
          <t xml:space="preserve">
</t>
        </r>
        <r>
          <rPr>
            <u/>
            <sz val="9"/>
            <color indexed="81"/>
            <rFont val="Tahoma"/>
            <family val="2"/>
          </rPr>
          <t>Begründung für diesen Wert</t>
        </r>
        <r>
          <rPr>
            <sz val="9"/>
            <color indexed="81"/>
            <rFont val="Tahoma"/>
            <family val="2"/>
          </rPr>
          <t>:
- Wenn sich connect gut entwickelt, ist es unrealistisch, dass unsere Personalausgaben dauerhaft an x % der Einnahmen angepasst werden. Unsere Ausnahmen müssen/sollen nicht direkt proportional zu den Einnahmen mitsteigen, weil die Entwicklungskosten nicht automatisch höher werden, nur, weil mehr User unsere Entwicklung verwenden. 
- Im Gegensatz zu Facebook und Co wollen wir beim Personal eher klein bleiben und a.) möglichst viel automatisieren, b.) Funktionen, die hohe Kosten durch z.B. Support benötigen, gar nicht erst anbieten, sondern diese c.) unseren Partnern überlassen. 
- Neue Inhalte sollen langfristig primär von unseren Partnern kommen, während wir mit Provision daran mitverdienen. Wir kümmern uns vorrangig um die "Schnittstelle", bzw. die Basisfunktionen, die weniger kosteneffizienten Entwicklungen (wie z.B. aufwendige Inhalte, die nur einmal schnell "durchgespielt" werden), überlassen wir unseren Partnern. 
- Je besser unser Netzwerk ist (Fokus liegt darauf!), umso mehr Partner-Inhalte bekommen wir - und wenn wir das gut machen, besser, als die Konkurrenz, dann wachsen unsere Inhalte durch Partner schneller, als wenn wir sie selbst entwickeln würden. 
- Dieser Zugang ist kostensparend, darum ist davon auszugehen, dass die prozentualen Ausgaben von unseren Einnahmen für das Personal im Laufe der Quartale um den Faktor x sinken werden. Der Großteil des Personals wird wohl aus Evangelisten, Sales- und Service-Mitarbeitern bestehen, aber auch hier wollen wir durch ChatBots, KI, etc. so viel wie möglich automatisieren.</t>
        </r>
      </text>
    </comment>
    <comment ref="A35" authorId="0">
      <text>
        <r>
          <rPr>
            <b/>
            <sz val="9"/>
            <color indexed="81"/>
            <rFont val="Tahoma"/>
            <family val="2"/>
          </rPr>
          <t xml:space="preserve">Michael Schöggl:
</t>
        </r>
        <r>
          <rPr>
            <sz val="9"/>
            <color indexed="81"/>
            <rFont val="Tahoma"/>
            <family val="2"/>
          </rPr>
          <t xml:space="preserve">
- Die Kosten für Material und Waren (z.B. Druckerpapier, Instandhaltung, Büroartikel, etc.) wurden mit 1%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5" authorId="0">
      <text>
        <r>
          <rPr>
            <b/>
            <sz val="9"/>
            <color indexed="81"/>
            <rFont val="Tahoma"/>
            <family val="2"/>
          </rPr>
          <t>Michael Schöggl:</t>
        </r>
        <r>
          <rPr>
            <sz val="9"/>
            <color indexed="81"/>
            <rFont val="Tahoma"/>
            <family val="2"/>
          </rPr>
          <t xml:space="preserve">
</t>
        </r>
        <r>
          <rPr>
            <b/>
            <sz val="9"/>
            <color indexed="81"/>
            <rFont val="Tahoma"/>
            <family val="2"/>
          </rPr>
          <t xml:space="preserve">
Wieviel € pro Monat haben wir an Fixkosten für Material und Waren, unabhängig von der Größe des Teams?</t>
        </r>
        <r>
          <rPr>
            <sz val="9"/>
            <color indexed="81"/>
            <rFont val="Tahoma"/>
            <family val="2"/>
          </rPr>
          <t xml:space="preserve">
</t>
        </r>
        <r>
          <rPr>
            <u/>
            <sz val="9"/>
            <color indexed="81"/>
            <rFont val="Tahoma"/>
            <family val="2"/>
          </rPr>
          <t xml:space="preserve">
Begründung für diesen Wert</t>
        </r>
        <r>
          <rPr>
            <sz val="9"/>
            <color indexed="81"/>
            <rFont val="Tahoma"/>
            <family val="2"/>
          </rPr>
          <t>:
- Wir berechnen die Kosten für Material und Waren (z.B. Bürobedarf) nur relativ zum Personal, da dies einfacher ist und es keine (relevanten) Fixkosten gibt. Allgemein sind diese Werte alle viel zu niedrig, alsdass sich eine nähere Betrachtung lohnen würde.</t>
        </r>
      </text>
    </comment>
    <comment ref="C35" authorId="0">
      <text>
        <r>
          <rPr>
            <b/>
            <sz val="9"/>
            <color indexed="81"/>
            <rFont val="Tahoma"/>
            <family val="2"/>
          </rPr>
          <t>Michael Schöggl:</t>
        </r>
        <r>
          <rPr>
            <sz val="9"/>
            <color indexed="81"/>
            <rFont val="Tahoma"/>
            <family val="2"/>
          </rPr>
          <t xml:space="preserve">
</t>
        </r>
        <r>
          <rPr>
            <b/>
            <sz val="9"/>
            <color indexed="81"/>
            <rFont val="Tahoma"/>
            <family val="2"/>
          </rPr>
          <t>Wieviel Prozent der Personalkosten werden pro Monat für Material und Waren benötigt?</t>
        </r>
        <r>
          <rPr>
            <sz val="9"/>
            <color indexed="81"/>
            <rFont val="Tahoma"/>
            <family val="2"/>
          </rPr>
          <t xml:space="preserve">
</t>
        </r>
        <r>
          <rPr>
            <u/>
            <sz val="9"/>
            <color indexed="81"/>
            <rFont val="Tahoma"/>
            <family val="2"/>
          </rPr>
          <t>Begründung für diesen Wert</t>
        </r>
        <r>
          <rPr>
            <sz val="9"/>
            <color indexed="81"/>
            <rFont val="Tahoma"/>
            <family val="2"/>
          </rPr>
          <t>:
Aufgrund bisherigen Erfahrungswerte gehen wir von rund 1 % der Personalkosten für Büromaterial und kleinere Ausgaben (z.B. Papier, Post, Reinigungsmittel, etc.) aus.</t>
        </r>
      </text>
    </comment>
    <comment ref="A36" authorId="0">
      <text>
        <r>
          <rPr>
            <b/>
            <sz val="9"/>
            <color indexed="81"/>
            <rFont val="Tahoma"/>
            <family val="2"/>
          </rPr>
          <t xml:space="preserve">Michael Schöggl:
</t>
        </r>
        <r>
          <rPr>
            <sz val="9"/>
            <color indexed="81"/>
            <rFont val="Tahoma"/>
            <family val="2"/>
          </rPr>
          <t xml:space="preserve">
- Die Betriebsausgaben (Miete, Strom, Internet, etc.) wurden mit 6%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6" authorId="0">
      <text>
        <r>
          <rPr>
            <b/>
            <sz val="9"/>
            <color indexed="81"/>
            <rFont val="Tahoma"/>
            <family val="2"/>
          </rPr>
          <t>Michael Schöggl:</t>
        </r>
        <r>
          <rPr>
            <sz val="9"/>
            <color indexed="81"/>
            <rFont val="Tahoma"/>
            <family val="2"/>
          </rPr>
          <t xml:space="preserve">
</t>
        </r>
        <r>
          <rPr>
            <b/>
            <sz val="9"/>
            <color indexed="81"/>
            <rFont val="Tahoma"/>
            <family val="2"/>
          </rPr>
          <t>Wieviel € pro Monat haben wir an Fixkosten für Betriebsausgaben, unabhängig von der Größe des Teams?</t>
        </r>
        <r>
          <rPr>
            <sz val="9"/>
            <color indexed="81"/>
            <rFont val="Tahoma"/>
            <family val="2"/>
          </rPr>
          <t xml:space="preserve">
</t>
        </r>
        <r>
          <rPr>
            <u/>
            <sz val="9"/>
            <color indexed="81"/>
            <rFont val="Tahoma"/>
            <family val="2"/>
          </rPr>
          <t>Begründung für diesen Wert</t>
        </r>
        <r>
          <rPr>
            <sz val="9"/>
            <color indexed="81"/>
            <rFont val="Tahoma"/>
            <family val="2"/>
          </rPr>
          <t xml:space="preserve">:
- Im Moment haben wir aufgerundet ca. 1500 € an Betriebskosten, die wir nicht sofort reduzieren können, sondern erst nach Kündigung (z.B. für Miete, Strom, Internet, Lizenzen und ähnliches). Diese Fixkosten würden sich auch nihilieren lassen, aber es würde bis zu 3 Monate dauern. </t>
        </r>
      </text>
    </comment>
    <comment ref="C36" authorId="0">
      <text>
        <r>
          <rPr>
            <b/>
            <sz val="9"/>
            <color indexed="81"/>
            <rFont val="Tahoma"/>
            <family val="2"/>
          </rPr>
          <t xml:space="preserve">Michael Schöggl:
Wieviel Prozent der Personalkosten werden pro Monat für Betriebsausgaben benötigt?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Aufgrund bisherigen Erfahrungswerte gehen wir von rund 6% der Personalkosten für Betriebsausgaben wie z.B. Miete, Strom, Internet, Lizenzen etc. aus.
- So wie die meisten anderen Kosten ist dieser Wert tendenziell zu hoch eingeschätzt, um bei der Prognose genügend Platz für unbedachte Kosten offen zu halten. 4% wären im sparsamen Fall ebenso realistisch möglich (z.B. Team aus 10 Leuten mit 50.000 € monatlichen Personalkosten in einem Büro zu 1000 € mit 1000 € an weiteren Betriebskosten für Strom, Internet, etc. = 4%).</t>
        </r>
      </text>
    </comment>
    <comment ref="A37" authorId="0">
      <text>
        <r>
          <rPr>
            <b/>
            <sz val="9"/>
            <color indexed="81"/>
            <rFont val="Tahoma"/>
            <family val="2"/>
          </rPr>
          <t>Michael Schöggl:</t>
        </r>
        <r>
          <rPr>
            <sz val="9"/>
            <color indexed="81"/>
            <rFont val="Tahoma"/>
            <family val="2"/>
          </rPr>
          <t xml:space="preserve">
- Für In-App-Einkäufe über den Google Play Store und ab Mitte 2020 auch über den App Store (Apple) fallen Transaktionsgebühren an.
- Diese Gebühren beinhalten bereits alle Nebenkosten, die durch Bankspesen, Zahlungsverkehr etc. entstehen. 
- Zu Beginn macht es Sinn, Einkäufe über den App-Store abzuwickeln, selbst wenn die Gebühren höher sind, als ein eigener Zugang (z.B. der Kauf von Punkten auf der Homepage, die dann in der App eingelöst werden können). 
- Warum? Weil deutlich mehr Menschen einkaufen werden, wenn der Einkauf ganz einfach und gewohnt über den App-Store abgewickelt wird, wo die Bezahlmethode bereits hinterlegt ist, als über unsere eigene Lösung. Eine höhere Zahlbereitschaft wird wichtiger sein, als das Sparen von Gebühren. 
- Zudem unterstützen die App-Stores eine Vielzahl verschiedener Zahlmöglichkeiten, diese alle mit z.B. Wirecard einzurichten, würde bei einer zunächst kleinen Summe an Transaktionen mehr kosten, als bringen. Die Kosten pro Transaktion nehmen erst ab einer großen Anzahl an monatlichen Einkäufen so stark ab, dass es sich lohnen könnte, ein eigenes Bezahlsystem anzubieten. 
- Langfristig haben wir aber natürlich genau das vor, weil wir uns sehr viele Kosten sparen könnten, wenn unsere Kosten pro Transaktion von 30% auf z.B. 15% fallen. Mehr dazu in den Kommentaren rechts.</t>
        </r>
      </text>
    </comment>
    <comment ref="B37" authorId="0">
      <text>
        <r>
          <rPr>
            <b/>
            <sz val="9"/>
            <color indexed="81"/>
            <rFont val="Tahoma"/>
            <family val="2"/>
          </rPr>
          <t xml:space="preserve">Michael Schöggl:
Wieviel Prozent sämtlicher Einnahmen über den App Store fallen an Gebühren an?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Transaktionsgebühren für In-App-Verkäufe im Google Play Store (30%). Die Gebühren für abgeschlossene Abos betragen 15%. Andere Stores wie z.B. Apple, Steam oder PlayStation sind günstiger, aber wir rechnen hier sicherheitshalber mit den höchsten Werten (abzüglich einer optional einstellbaren Verbesserung pro Quartal in der Spalte rechts). </t>
        </r>
      </text>
    </comment>
    <comment ref="C37" authorId="0">
      <text>
        <r>
          <rPr>
            <b/>
            <sz val="9"/>
            <color indexed="81"/>
            <rFont val="Tahoma"/>
            <family val="2"/>
          </rPr>
          <t xml:space="preserve">Michael Schöggl:
</t>
        </r>
        <r>
          <rPr>
            <b/>
            <sz val="9"/>
            <color indexed="81"/>
            <rFont val="Tahoma"/>
            <family val="2"/>
          </rPr>
          <t xml:space="preserve">
Um wieviel Prozent pro Quartal lassen sich die Transaktionsgebühren senken?</t>
        </r>
        <r>
          <rPr>
            <sz val="9"/>
            <color indexed="81"/>
            <rFont val="Tahoma"/>
            <family val="2"/>
          </rPr>
          <t xml:space="preserve">
</t>
        </r>
        <r>
          <rPr>
            <u/>
            <sz val="9"/>
            <color indexed="81"/>
            <rFont val="Tahoma"/>
            <family val="2"/>
          </rPr>
          <t>Begründung für diesen Wert</t>
        </r>
        <r>
          <rPr>
            <sz val="9"/>
            <color indexed="81"/>
            <rFont val="Tahoma"/>
            <family val="2"/>
          </rPr>
          <t>:
Wir gehen davon aus, die Transaktionsgebühren im Laufe der nächsten 3 Jahre von maximal 30% (= alle Einkäufe werden über den Play Store getätigt) auf rund 16,5% senken zu können, da ...
1.) ... wir auch alternative Bezahlungsmöglichkeiten anbieten wollen, z.B. über den Erwerb von Punkten auf unserer Homepage, die uns deutlich günstiger kommen.
2.) ... der Play Store zu den teuersten Stores gehört, connect aber nicht nur für Android erscheint, sondern auch PlayStation, Steam etc.
3.) ... die Store-Preise allgemein etwas fallen werden.
4.) ... wir uns hier gewaltige Kosten sparen können und daher sehr motiviert sein werden, Alternativen anzubieten.</t>
        </r>
      </text>
    </comment>
    <comment ref="A38" authorId="0">
      <text>
        <r>
          <rPr>
            <b/>
            <sz val="9"/>
            <color indexed="81"/>
            <rFont val="Tahoma"/>
            <family val="2"/>
          </rPr>
          <t>Michael Schöggl:</t>
        </r>
        <r>
          <rPr>
            <sz val="9"/>
            <color indexed="81"/>
            <rFont val="Tahoma"/>
            <family val="2"/>
          </rPr>
          <t xml:space="preserve">
Mit Ende 2019 betragen die Zinsen pro Monat ca. 3000 Euro, beim Beginn der Rückzahlung ist unsere Hausbank flexibel, wir rechnen aber ab Ende 2020 mit einer Laufzeit von 10 Jahren.
Auch wenn bei guter wirtschaftlicher Entwicklung der gesamte Kredit deutlich früher zurückgezahlt werden kann und wird, wird sicherheitshalber in dieser Prognose davon ausgegangen, dass die Rückzahlung im Verlauf von 10 Jahren erfolgt.</t>
        </r>
      </text>
    </comment>
    <comment ref="B38" authorId="0">
      <text>
        <r>
          <rPr>
            <b/>
            <sz val="9"/>
            <color indexed="81"/>
            <rFont val="Tahoma"/>
            <family val="2"/>
          </rPr>
          <t>Michael Schöggl:</t>
        </r>
        <r>
          <rPr>
            <sz val="9"/>
            <color indexed="81"/>
            <rFont val="Tahoma"/>
            <family val="2"/>
          </rPr>
          <t xml:space="preserve">
</t>
        </r>
        <r>
          <rPr>
            <b/>
            <sz val="9"/>
            <color indexed="81"/>
            <rFont val="Tahoma"/>
            <family val="2"/>
          </rPr>
          <t>Wieviel Zinsen bezahlen wir für laufende Kredite pro Monat?</t>
        </r>
        <r>
          <rPr>
            <sz val="9"/>
            <color indexed="81"/>
            <rFont val="Tahoma"/>
            <family val="2"/>
          </rPr>
          <t xml:space="preserve">
</t>
        </r>
        <r>
          <rPr>
            <u/>
            <sz val="9"/>
            <color indexed="81"/>
            <rFont val="Tahoma"/>
            <family val="2"/>
          </rPr>
          <t>Begründung für diesen Wert</t>
        </r>
        <r>
          <rPr>
            <sz val="9"/>
            <color indexed="81"/>
            <rFont val="Tahoma"/>
            <family val="2"/>
          </rPr>
          <t>:
- Erfahrungswerte: Die aktuellen Zinsen pro Monat betragen knapp 3000 €.</t>
        </r>
      </text>
    </comment>
    <comment ref="C38" authorId="0">
      <text>
        <r>
          <rPr>
            <b/>
            <sz val="9"/>
            <color indexed="81"/>
            <rFont val="Tahoma"/>
            <family val="2"/>
          </rPr>
          <t xml:space="preserve">Michael Schöggl:
Wieviel € pro Monat müssen für laufende Kredite ab 2021 zurückbezahlt werden?
</t>
        </r>
        <r>
          <rPr>
            <u/>
            <sz val="9"/>
            <color indexed="81"/>
            <rFont val="Tahoma"/>
            <family val="2"/>
          </rPr>
          <t>Begründung für diesen Wert</t>
        </r>
        <r>
          <rPr>
            <sz val="9"/>
            <color indexed="81"/>
            <rFont val="Tahoma"/>
            <family val="2"/>
          </rPr>
          <t>:
Über eine Laufzeit von 10 Jahren sollen ab 2021 die offenen Kredite (590.000 €) rückgezahlt werden.
Die erhaltenen Investitionen durch partiarische Darlehen werden über eine Gewinnbeteiligung ausgeschüttet, bis sie abbezahlt sind.</t>
        </r>
      </text>
    </comment>
    <comment ref="A39" authorId="0">
      <text>
        <r>
          <rPr>
            <b/>
            <sz val="9"/>
            <color indexed="81"/>
            <rFont val="Tahoma"/>
            <family val="2"/>
          </rPr>
          <t>Michael Schöggl:</t>
        </r>
        <r>
          <rPr>
            <sz val="9"/>
            <color indexed="81"/>
            <rFont val="Tahoma"/>
            <family val="2"/>
          </rPr>
          <t xml:space="preserve">
Alle Einnahmen wurden brutto mit Umsatzsteuer berechnet. D.h. die Einnahmenprognose ist um 20% vorsichtiger, als auf den ersten Blick angenommen, wenn Netto- statt Brutto-Beträge erwartet wurden.
Zwar besteht später die Möglichkeit, Steuervorteile zu nutzen (und der Steuersatz ist auch nicht in jedem Land so hoch, wie in Österreich), sicherheitshalber haben wir aber trotzdem mit 20% Umsatzsteuer auf alle Einnahmen gerechnet.</t>
        </r>
      </text>
    </comment>
    <comment ref="B39" authorId="0">
      <text>
        <r>
          <rPr>
            <b/>
            <sz val="9"/>
            <color indexed="81"/>
            <rFont val="Tahoma"/>
            <family val="2"/>
          </rPr>
          <t xml:space="preserve">Michael Schöggl:
Wieviel Prozent an Umsatzsteuer müssen für Einnahmen bezahlt werden?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Umsatzsteuer in Österreich, dieser Wert kann langfristig durch entsprechende Steuersparmaßnahmen deutlich reduziert werden.
- Die Umsatzsteuer in anderen Ländern ist in der Regel (deutlich) niedriger, aber unsere Prognose soll mit vorsichtigen Werten arbeiten.</t>
        </r>
      </text>
    </comment>
    <comment ref="C39"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Um wieviel Prozent pro Quartal sinkt die Umsatzsteuer durch steuersparende Maßnahmen?
</t>
        </r>
        <r>
          <rPr>
            <u/>
            <sz val="9"/>
            <color indexed="81"/>
            <rFont val="Tahoma"/>
            <family val="2"/>
          </rPr>
          <t>Begründung für diesen Wert</t>
        </r>
        <r>
          <rPr>
            <sz val="9"/>
            <color indexed="81"/>
            <rFont val="Tahoma"/>
            <family val="2"/>
          </rPr>
          <t xml:space="preserve">:
Wir nehmen hier 0 an, weil wir brave Steuerzahler sind, aber realistisch ist es nicht, dass wir dauerhaft 20% Umsatzsteuer zahlen würden, daher bei Bedarf hier bitte einen Minuswert eintragen - z.B. -1% (in 9 Schritten reduziert sich dann die Umsatzsteuer kontinuierlich von 20% auf 11%. 
</t>
        </r>
      </text>
    </comment>
    <comment ref="A40" authorId="0">
      <text>
        <r>
          <rPr>
            <b/>
            <sz val="9"/>
            <color indexed="81"/>
            <rFont val="Tahoma"/>
            <family val="2"/>
          </rPr>
          <t>Michael Schöggl:</t>
        </r>
        <r>
          <rPr>
            <sz val="9"/>
            <color indexed="81"/>
            <rFont val="Tahoma"/>
            <family val="2"/>
          </rPr>
          <t xml:space="preserve">
Der Gewinn wird so lange wie möglich reinvestiert, um keine Körperschaftsteuer (bzw. Einkommensteuer) zahlen zu müssen. 
Eigentlich rechnen bis Ende 2021 damit, die Einnahmen vollständig reinvestieren zu können und keine Gewinne zu machen. Bei der Prognose wurden aber einfach alle Gewinne mit 25% Körperschaftsteuer belegt.
Die Mindestkörperschaftssteuer beträgt bei einer GmbH rund 1750 € pro Jahr, kann aber später gegengerechnet werden, weshalb wir diesen Wert ignorieren (das ist kein Liquiditätsplan).
</t>
        </r>
      </text>
    </comment>
    <comment ref="B40" authorId="0">
      <text>
        <r>
          <rPr>
            <b/>
            <sz val="9"/>
            <color indexed="81"/>
            <rFont val="Tahoma"/>
            <family val="2"/>
          </rPr>
          <t>Michael Schöggl:
Wieviel Prozent des Gewinns müssen an Körperschaftsteuer abgezogen werden?</t>
        </r>
        <r>
          <rPr>
            <sz val="9"/>
            <color indexed="81"/>
            <rFont val="Tahoma"/>
            <family val="2"/>
          </rPr>
          <t xml:space="preserve">
</t>
        </r>
        <r>
          <rPr>
            <u/>
            <sz val="9"/>
            <color indexed="81"/>
            <rFont val="Tahoma"/>
            <family val="2"/>
          </rPr>
          <t>Begründung für diesen Wert</t>
        </r>
        <r>
          <rPr>
            <sz val="9"/>
            <color indexed="81"/>
            <rFont val="Tahoma"/>
            <family val="2"/>
          </rPr>
          <t>:
- Körperschaftsteuer in Österreich, dieser Wert kann langfristig durch entsprechende Steuersparmaßnahmen natürlich reduziert werden, zudem gibt es Beschlüsse der neuen Bundesregierung, die Körperschaftsteuer deutlich zu senken.
- Ebenso wie die Umsatzsteuer ist die Körperschaftsteuer in anderen Ländern auch niedriger, aber wir wollen vorsichtige Schätzwerte.</t>
        </r>
      </text>
    </comment>
    <comment ref="C40"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sinkt die Körperschaftsteuer durch steuersparende Maßnahmen?</t>
        </r>
        <r>
          <rPr>
            <sz val="9"/>
            <color indexed="81"/>
            <rFont val="Tahoma"/>
            <family val="2"/>
          </rPr>
          <t xml:space="preserve">
Wir nehmen hier 0 an, weil wir brave Steuerzahler sind, aber realistisch ist es nicht, dass wir dauerhaft 35 % Körperschaftsteuer zahlen würden (u.a. weil Gewinne reinvestiert werden, notfalls in andere Unternehmen oder Zukäufe), daher bei Bedarf hier bitte einen Minuswert eintragen - z.B. -1% (in 9 Schritten reduziert sich dann die Umsatzsteuer kontinuierlich von 20% auf 11%. </t>
        </r>
      </text>
    </comment>
    <comment ref="A41" authorId="0">
      <text>
        <r>
          <rPr>
            <b/>
            <sz val="9"/>
            <color indexed="81"/>
            <rFont val="Tahoma"/>
            <family val="2"/>
          </rPr>
          <t>Michael Schöggl:</t>
        </r>
        <r>
          <rPr>
            <sz val="9"/>
            <color indexed="81"/>
            <rFont val="Tahoma"/>
            <family val="2"/>
          </rPr>
          <t xml:space="preserve">
Meine geplanten Privatentnahmen (Abzug von der bereits geleisteten finanziellen Einbringung). Auch möglich wäre eine Anstellung zu eben diesen Kosten.</t>
        </r>
      </text>
    </comment>
    <comment ref="B41" authorId="0">
      <text>
        <r>
          <rPr>
            <b/>
            <sz val="9"/>
            <color indexed="81"/>
            <rFont val="Tahoma"/>
            <family val="2"/>
          </rPr>
          <t>Michael Schöggl:</t>
        </r>
        <r>
          <rPr>
            <sz val="9"/>
            <color indexed="81"/>
            <rFont val="Tahoma"/>
            <family val="2"/>
          </rPr>
          <t xml:space="preserve">
</t>
        </r>
        <r>
          <rPr>
            <b/>
            <sz val="9"/>
            <color indexed="81"/>
            <rFont val="Tahoma"/>
            <family val="2"/>
          </rPr>
          <t>Wieviel € pro Monat fallen an Kosten für das Geschäftsführergehalt oder die Privatentnahmen durch den Geschäftsführer an?</t>
        </r>
        <r>
          <rPr>
            <sz val="9"/>
            <color indexed="81"/>
            <rFont val="Tahoma"/>
            <family val="2"/>
          </rPr>
          <t xml:space="preserve">
</t>
        </r>
        <r>
          <rPr>
            <u/>
            <sz val="9"/>
            <color indexed="81"/>
            <rFont val="Tahoma"/>
            <family val="2"/>
          </rPr>
          <t xml:space="preserve">
Begründung für diesen Wert</t>
        </r>
        <r>
          <rPr>
            <sz val="9"/>
            <color indexed="81"/>
            <rFont val="Tahoma"/>
            <family val="2"/>
          </rPr>
          <t>:
- In der Praxis kann dieser Wert deutlich niedriger sein, da die Lebenserhaltungskosten nicht unbedingt 2.500 € pro Monat ausmachen, aber für eine vorsichtige Schätzung ist das ein guter Wert.</t>
        </r>
      </text>
    </comment>
    <comment ref="C41"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 pro Quartal steigt das Geschäftsführergehalt bzw. die Privatentnahme ab Erreichen der Gewinnzone?</t>
        </r>
        <r>
          <rPr>
            <sz val="9"/>
            <color indexed="81"/>
            <rFont val="Tahoma"/>
            <family val="2"/>
          </rPr>
          <t xml:space="preserve">
</t>
        </r>
        <r>
          <rPr>
            <u/>
            <sz val="9"/>
            <color indexed="81"/>
            <rFont val="Tahoma"/>
            <family val="2"/>
          </rPr>
          <t>Begründung für diesen Wert</t>
        </r>
        <r>
          <rPr>
            <sz val="9"/>
            <color indexed="81"/>
            <rFont val="Tahoma"/>
            <family val="2"/>
          </rPr>
          <t>:
- Es wäre unglaubwürdig, hier unabhängig vom Erfolg des Unternehmens von gleichbleibenden Kosten auszugehen. 
- Zudem wäre eine repräsentative Vertretung nach Außen hin mit 2500 € eingeschränkter möglich, als mit eine angebrachten Gehalt.</t>
        </r>
      </text>
    </comment>
    <comment ref="A42" authorId="0">
      <text>
        <r>
          <rPr>
            <b/>
            <sz val="9"/>
            <color indexed="81"/>
            <rFont val="Tahoma"/>
            <family val="2"/>
          </rPr>
          <t xml:space="preserve">Michael Schöggl:
</t>
        </r>
        <r>
          <rPr>
            <sz val="9"/>
            <color indexed="81"/>
            <rFont val="Tahoma"/>
            <family val="2"/>
          </rPr>
          <t xml:space="preserve">
Nach unseren Basis-Kosten für Lizenzen etc. wurden ab 2021 weiter 0,01 Cent pro User veranschlagt, um u.a. die steigenden Serverkosten abzubilden. Jeder Server, der pro Monat rund 300 Euro angemietet kostet, kann problemlos mehr als 30.000 User beherrbergen, aber es gibt noch weitere kleinere Kosten wie z.B. den erstmaligen SMS-Versand für die Registrierung, etc.
Kosten in Höhe von 1 Cent pro User und Monat sind insgesamt durchaus realistisch.</t>
        </r>
      </text>
    </comment>
    <comment ref="B42" authorId="0">
      <text>
        <r>
          <rPr>
            <b/>
            <sz val="9"/>
            <color indexed="81"/>
            <rFont val="Tahoma"/>
            <family val="2"/>
          </rPr>
          <t>Michael Schöggl:</t>
        </r>
        <r>
          <rPr>
            <sz val="9"/>
            <color indexed="81"/>
            <rFont val="Tahoma"/>
            <family val="2"/>
          </rPr>
          <t xml:space="preserve">
</t>
        </r>
        <r>
          <rPr>
            <b/>
            <sz val="9"/>
            <color indexed="81"/>
            <rFont val="Tahoma"/>
            <family val="2"/>
          </rPr>
          <t>Mit welchen Fixkosten müssen wir monatlich für Server, Lizenzen und andere userabhängige Kosten rechnen?</t>
        </r>
        <r>
          <rPr>
            <sz val="9"/>
            <color indexed="81"/>
            <rFont val="Tahoma"/>
            <family val="2"/>
          </rPr>
          <t xml:space="preserve">
</t>
        </r>
        <r>
          <rPr>
            <u/>
            <sz val="9"/>
            <color indexed="81"/>
            <rFont val="Tahoma"/>
            <family val="2"/>
          </rPr>
          <t>Begründung für diesen Wert</t>
        </r>
        <r>
          <rPr>
            <sz val="9"/>
            <color indexed="81"/>
            <rFont val="Tahoma"/>
            <family val="2"/>
          </rPr>
          <t xml:space="preserve">:
- Es handelt sich hier um einen Erfahrungswert aufgrund bisherigen Kosten - auch wenn bei 2000 € bereits alle Lizenzenkosten (für Shutterstock, Unity, Cision, Mailworx, etc.) enthalten sind.
- Diese nicht-userabgängigen Lizenzkosten sind nur einmalig zu bezahlen und werden später in den Betriebsausgaben veranschlagt. 
- Dieser Wert soll sich auf (noch nicht vorhandene) userabhängige Lizenzrechte, Service-Kosten (z.B. der SMS-Versand für den Zugangscode bei der Registrierung neuer User) und die bereits bekannten Serverkosten (ca. 300 € pro Monat für einen Server, der locker 300.000 User verwalten kann) beziehen. </t>
        </r>
      </text>
    </comment>
    <comment ref="C42" authorId="0">
      <text>
        <r>
          <rPr>
            <b/>
            <sz val="9"/>
            <color indexed="81"/>
            <rFont val="Tahoma"/>
            <family val="2"/>
          </rPr>
          <t>Michael Schöggl:</t>
        </r>
        <r>
          <rPr>
            <sz val="9"/>
            <color indexed="81"/>
            <rFont val="Tahoma"/>
            <family val="2"/>
          </rPr>
          <t xml:space="preserve">
</t>
        </r>
        <r>
          <rPr>
            <b/>
            <sz val="9"/>
            <color indexed="81"/>
            <rFont val="Tahoma"/>
            <family val="2"/>
          </rPr>
          <t>Wieviel € wird uns jeder User pro Monat für Service, Server und Lizenzrechte kosten?</t>
        </r>
        <r>
          <rPr>
            <sz val="9"/>
            <color indexed="81"/>
            <rFont val="Tahoma"/>
            <family val="2"/>
          </rPr>
          <t xml:space="preserve">
</t>
        </r>
        <r>
          <rPr>
            <u/>
            <sz val="9"/>
            <color indexed="81"/>
            <rFont val="Tahoma"/>
            <family val="2"/>
          </rPr>
          <t>Begründung für diesen Wert</t>
        </r>
        <r>
          <rPr>
            <sz val="9"/>
            <color indexed="81"/>
            <rFont val="Tahoma"/>
            <family val="2"/>
          </rPr>
          <t>:
- Nach unseren Basis-Kosten für Lizenzen etc. wurden ab 2021 weiter 0,01 Cent pro User veranschlagt, um u.a. die steigenden Serverkosten abzubilden. Jeder Server, der pro Monat rund 300 Euro angemietet kostet, kann problemlos mehr als 30.000 User beherrbergen, aber es gibt noch weitere kleinere Kosten wie z.B. den erstmaligen SMS-Versand für die Registrierung, etc.
- Kosten in Höhe von 1 Cent pro User und Monat sind insgesamt realistisch und pessimistisch geschätzt.
- Mittelfristig werden wir Server nicht mehr mieten, sondern selbst anschaffen, aber die Kosten werde als Abschreibposten ungefähr dieselben bleiben (eher sinken als steigen).</t>
        </r>
      </text>
    </comment>
    <comment ref="A43" authorId="0">
      <text>
        <r>
          <rPr>
            <b/>
            <sz val="9"/>
            <color indexed="81"/>
            <rFont val="Tahoma"/>
            <family val="2"/>
          </rPr>
          <t>Michael Schöggl:</t>
        </r>
        <r>
          <rPr>
            <sz val="9"/>
            <color indexed="81"/>
            <rFont val="Tahoma"/>
            <family val="2"/>
          </rPr>
          <t xml:space="preserve">
- Hier werden sämtliche Ausgaben für externe Dienstleister und sonstige Ausgaben (die nicht in die anderen Kategorien passen) subsummiert. 
- U.a. sind das Kosten für outgesourcte Softwareentwicklung, Rechtsberatung, IP-Beratung, allgemeine Unternehmsberatung (z.B. beim Pricing), Marketing-Dienstleistungen, Animation von 3D-Modellen (z.B. virtuelle Haustiere), Homepage-Entwicklung (eigentlich abgeschlossen - nichts, was wir selbst machen), etc.
- Kosten, die im Zuge eines Abos entstehen (z.B. für Shutterstock, Cision, Mailworx, Server, Lizenzen, etc.) werden hier nicht gelistet, sondern in der Kategorie 3.4 Betriebsausgaben, wenn sie unabhängig von der Anzahl unserer User sind, bzw. 3.10, wenn sie mit der Useranzahl mitskalieren. </t>
        </r>
      </text>
    </comment>
    <comment ref="B43" authorId="0">
      <text>
        <r>
          <rPr>
            <b/>
            <sz val="9"/>
            <color indexed="81"/>
            <rFont val="Tahoma"/>
            <family val="2"/>
          </rPr>
          <t>Michael Schöggl:</t>
        </r>
        <r>
          <rPr>
            <sz val="9"/>
            <color indexed="81"/>
            <rFont val="Tahoma"/>
            <family val="2"/>
          </rPr>
          <t xml:space="preserve">
</t>
        </r>
        <r>
          <rPr>
            <b/>
            <sz val="9"/>
            <color indexed="81"/>
            <rFont val="Tahoma"/>
            <family val="2"/>
          </rPr>
          <t xml:space="preserve">
Wieviel Prozent der gesamten Einnahmen werden wir für Outsourcing, externe Dienstleister und sonstige Ausgaben benötigen?</t>
        </r>
        <r>
          <rPr>
            <sz val="9"/>
            <color indexed="81"/>
            <rFont val="Tahoma"/>
            <family val="2"/>
          </rPr>
          <t xml:space="preserve">
</t>
        </r>
        <r>
          <rPr>
            <u/>
            <sz val="9"/>
            <color indexed="81"/>
            <rFont val="Tahoma"/>
            <family val="2"/>
          </rPr>
          <t>Begründung für diesen Wert</t>
        </r>
        <r>
          <rPr>
            <sz val="9"/>
            <color indexed="81"/>
            <rFont val="Tahoma"/>
            <family val="2"/>
          </rPr>
          <t>:
- Gerade zu Beginn werden wir keine Rechtsabteilung oder HR-Abteilung haben, sondern externe Dienstleister für derlei Aufgaben beschäftigen. Auch Marketing-Dienstleistungen sind hier abgebildet.
- Ein Teil unserer Entwicklung wird gerade zu Beginn auch durch Outsourcing abgedeckt, da dieser Weg es ermöglicht, international Experten relativ rasch einzusetzen. Ein eigenes Team aufzubauen, das alle Aufgaben übernimmt, kann einige Monate dauern. 
- Zu Beginn entsprechen 5% der Einnahmen zuzüglich 10.000 € an monatlichen Fixkosten einem Erfahrungswert, der genug Spielraum für Outsourcing lässt.
- Die Kosten pro Quartal steigen kontinuierlich um diese 5% der Einnahmen an, es wird der Wert des vorherigen Quartals entsprechend erhöht. Diese "Mindestkosten" bleiben erhalten.</t>
        </r>
      </text>
    </comment>
    <comment ref="C43"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fallen die prozentualen, einnahmeabhängigen Kosten für externe Dienstleistungen?</t>
        </r>
        <r>
          <rPr>
            <sz val="9"/>
            <color indexed="81"/>
            <rFont val="Tahoma"/>
            <family val="2"/>
          </rPr>
          <t xml:space="preserve">
</t>
        </r>
        <r>
          <rPr>
            <u/>
            <sz val="9"/>
            <color indexed="81"/>
            <rFont val="Tahoma"/>
            <family val="2"/>
          </rPr>
          <t>Begründung für diesen Wert</t>
        </r>
        <r>
          <rPr>
            <sz val="9"/>
            <color indexed="81"/>
            <rFont val="Tahoma"/>
            <family val="2"/>
          </rPr>
          <t>:
- Langfristig werden die Kosten für externe Dienstleister sinken, weil wir eigene Mitarbeiter für derlei Aufgaben beschäftigen werden. Darum wird der Prozentsatz von den Einnahmen im Laufe der Quartale deutlich fallen.
- Dazu kommt, dass unsere Kosten nicht im selben Ausmaß wie unsere Einnahmen ansteigen müssen, weil unsere Einnahmen primär aus neuen Usern resultieren und mehr User nicht zwangsläufig höhere Entwicklungskosten bedeuten müssen.</t>
        </r>
      </text>
    </comment>
    <comment ref="A44" authorId="1">
      <text>
        <r>
          <rPr>
            <b/>
            <sz val="9"/>
            <color indexed="81"/>
            <rFont val="Tahoma"/>
            <family val="2"/>
          </rPr>
          <t>e.com:</t>
        </r>
        <r>
          <rPr>
            <sz val="9"/>
            <color indexed="81"/>
            <rFont val="Tahoma"/>
            <family val="2"/>
          </rPr>
          <t xml:space="preserve">
</t>
        </r>
        <r>
          <rPr>
            <u/>
            <sz val="9"/>
            <color indexed="81"/>
            <rFont val="Tahoma"/>
            <family val="2"/>
          </rPr>
          <t>Informationen zu bezahlter Werbung:</t>
        </r>
        <r>
          <rPr>
            <sz val="9"/>
            <color indexed="81"/>
            <rFont val="Tahoma"/>
            <family val="2"/>
          </rPr>
          <t xml:space="preserve">
- erste Tests zeigen: rund 3 € pro neuem User (= Anmeldung, nicht nur Installation)
- viele Werbevideos sind vorbereitet und es ist einfach, neue zu erstellen: http://bit.ly/2zlcvAl
- wir werden bis Mitte 2020 verschiedenste Marketing-Zugänge austesten und jene mit dem besten Kosten-Nutzen-Verhältnis optimieren und forcieren
- die Kosten pro neuem User sind EXTREM wichtig, da uns jeder User pro Jahr mehr Geld bringt, als kostet und es sich daher lohnt, so viel Geld wie möglich in Werbung zu investieren
- wegen der geringen Fixkosten der Entwicklung (neue Inhalte stammen meist von Partnern!) wird connect alle Werbeausgaben multiplikativ wieder einspielen
- daher wichtigstes Ziel: Werbekosten pro neuem User minimieren und möglichst viel Geld in Werbung zu investieren (wir rechnen mit 30 % der Einnahmen)
- Kreislauf führt zu exponentiellem Wachstum: je mehr User, umso mehr Einnahmen und dadurch immer mehr Werbung (prozentualer Anteil der Einnahmen) - was wieder zu mehr Usern führt... wir gewinnen sehr schnell an Tempo
- bis die Kosten für neue User die Einnahmen übersteigen (weil die primäre Zielgruppe zunehmend ausgeschöpft ist) werden wir uns massiv auf bezahlte Werbung konzentrieren, danach (ca. ab 100+ Mio User) sind unsere multiplikativen Tricks (1.3 bis 1.9) mehr als ausreichend
</t>
        </r>
      </text>
    </comment>
    <comment ref="B44"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Wie viel kostet uns jeder neue User mit bezahlter Werbung? </t>
        </r>
        <r>
          <rPr>
            <sz val="9"/>
            <color indexed="81"/>
            <rFont val="Tahoma"/>
            <family val="2"/>
          </rPr>
          <t xml:space="preserve">
</t>
        </r>
        <r>
          <rPr>
            <u/>
            <sz val="9"/>
            <color indexed="81"/>
            <rFont val="Tahoma"/>
            <family val="2"/>
          </rPr>
          <t>Begründung für diesen Wert:</t>
        </r>
        <r>
          <rPr>
            <sz val="9"/>
            <color indexed="81"/>
            <rFont val="Tahoma"/>
            <family val="2"/>
          </rPr>
          <t xml:space="preserve">
- erste Tests zeigen ca. 3 € Kosten pro neuem User
- entspricht auch den durchschnittlichen Kosten laut mehreren Internetquellen (unten)
- durchschnittliche Kosten pro Installation sind laut Statista 0,44 Dollar bzw. 1,91 $ in den USA und 0,99 $ in Europa laut mobyaffiliates.com (siehe Quellen)
- bis Mitte 2020 testen wir mit geringem Kapital verschiedene Werbekanäle, der Fokus liegt auf Informationsgewinn statt neuen Usern</t>
        </r>
      </text>
    </comment>
    <comment ref="C44"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Absolute Verringerung der Akquirierungskosten pro Quartal in Euro.
</t>
        </r>
        <r>
          <rPr>
            <u/>
            <sz val="9"/>
            <color indexed="81"/>
            <rFont val="Tahoma"/>
            <family val="2"/>
          </rPr>
          <t xml:space="preserve">Begründung für diesen Wert:
</t>
        </r>
        <r>
          <rPr>
            <sz val="9"/>
            <color indexed="81"/>
            <rFont val="Tahoma"/>
            <family val="2"/>
          </rPr>
          <t>- Werbematerial wird immer professioneller.
- Erfahrungen helfen, den Werbezugang zu optimieren. 
- Das Produkt verbessert sich, der Nutzen für den Kunden steigt, wodurch auch mehr auf die Werbung anspringen. 
- Die Werbekosten allgemein sinken eher, als dass sie steigen würden.</t>
        </r>
      </text>
    </comment>
    <comment ref="J44" authorId="0">
      <text>
        <r>
          <rPr>
            <b/>
            <sz val="9"/>
            <color indexed="81"/>
            <rFont val="Tahoma"/>
            <family val="2"/>
          </rPr>
          <t xml:space="preserve">Michael Schöggl:
</t>
        </r>
        <r>
          <rPr>
            <sz val="9"/>
            <color indexed="81"/>
            <rFont val="Tahoma"/>
            <family val="2"/>
          </rPr>
          <t xml:space="preserve">
Durchschnittswert für dieses Jahr.</t>
        </r>
      </text>
    </comment>
    <comment ref="A45" authorId="0">
      <text>
        <r>
          <rPr>
            <b/>
            <sz val="9"/>
            <color indexed="81"/>
            <rFont val="Tahoma"/>
            <family val="2"/>
          </rPr>
          <t xml:space="preserve">Michael Schöggl:
</t>
        </r>
        <r>
          <rPr>
            <sz val="9"/>
            <color indexed="81"/>
            <rFont val="Tahoma"/>
            <family val="2"/>
          </rPr>
          <t xml:space="preserve">
Bis Mitte 2020 machen wir nur erste, günstige Tests mit bezahlter Werbung, um jene Kanäle zu finden, die das besten Kosten-Nutzen-Verhältnis haben (u.a. werden wir AdColony und Vungle testen, aber auch viele komplett andere Zugänge). 
Wenn wir bis Mitte 2020 den für uns besten Zugang gefunden haben, werden wir ihn optimieren und perfektionieren, um möglichst nicht mehr als 3 € pro neuem User an Kosten zu haben. Das sind realistische Erfahrungswerte für kostenlose Apps und Spiele, die sich sicher erreichen lassen, da connect ein breiteres, weniger spezifisches Puplikum anspricht und auch mehr weniger stark umkämpfte Werbezugänge erlaubt, als klassische App-Spiele. Wenn wir dieses Ziel erreichen, werden wir je nach finanzieller Aussicht zwischen 0 und 5.000 € pro Monat in Werbung stecken, bis wir erste Einnahmen haben. Die Prognose rechnet aktuell mit mindestens 5.000 € an Werbekosten pro Monat ab Mitte 2018.
Sobald wir Einnahmen haben, wollen wir rund 30% der Einnahmen in Werbung reinvestieren - jedoch mit einer Obergrenze, die nun willkürlich mit 1.000.000 festgelegt wurde</t>
        </r>
      </text>
    </comment>
    <comment ref="B45" authorId="0">
      <text>
        <r>
          <rPr>
            <b/>
            <sz val="9"/>
            <color indexed="81"/>
            <rFont val="Tahoma"/>
            <family val="2"/>
          </rPr>
          <t>Michael Schöggl:</t>
        </r>
        <r>
          <rPr>
            <sz val="9"/>
            <color indexed="81"/>
            <rFont val="Tahoma"/>
            <family val="2"/>
          </rPr>
          <t xml:space="preserve">
</t>
        </r>
        <r>
          <rPr>
            <b/>
            <sz val="9"/>
            <color indexed="81"/>
            <rFont val="Tahoma"/>
            <family val="2"/>
          </rPr>
          <t xml:space="preserve">Prozentsatz der Einnahmen, die wir pro Monat in bezahlte Werbung stecken. </t>
        </r>
        <r>
          <rPr>
            <sz val="9"/>
            <color indexed="81"/>
            <rFont val="Tahoma"/>
            <family val="2"/>
          </rPr>
          <t xml:space="preserve">
</t>
        </r>
        <r>
          <rPr>
            <u/>
            <sz val="9"/>
            <color indexed="81"/>
            <rFont val="Tahoma"/>
            <family val="2"/>
          </rPr>
          <t>Begründung für diesen Wert:</t>
        </r>
        <r>
          <rPr>
            <sz val="9"/>
            <color indexed="81"/>
            <rFont val="Tahoma"/>
            <family val="2"/>
          </rPr>
          <t xml:space="preserve">
- Dieser Wert hängt natürlich davon ab, wie viel uns jeder neue User tatsächlich kostet und ein Einnahmen bringt. 
- Auf Basis der aktuellen Schätzwerte ist klar, dass jeder User sehr rasch deutlich mehr Geld einbringt, als er kostet - weshalb es solange Sinn für uns macht, möglichst viel Geld in Werbung zu stecken, solange wir ein gutes Verhältnis der Kosten pro neuem User aufrechterhalten können. 
- Irgendwann sind bestimmte Marketingkanäle oder die Zielgruppe erschöpft und bei anderen Zugängen sind die Kosten pro neuem User höher, eventuell zu hoch. Darum gibt es in der Spalte rechts auch einen Grenzwert, wie viel Geld wir maximal pro Monat in bezahlte Werbung stecken sollten.
- Dieser Wert ist absichtlich ein Prozentwert von den Einnahmen, weil wir damit nicht riskieren würden, uns zu stark zu verschulden. 
- Mit entsprechendem Investment könnten wir natürlich auch unabhängig von den Einnahmen deutlich mehr Geld für bezahlte Werbung ausgeben und viel schneller wachsen. Wie die Zahlen in dieser Tabelle und bei vergleichbaren, erfolgreichen Social Networks zeigen (die teilweise Wachstumsraten von mehr als 500% pro Jahr haben - über die ersten 2-4 Jahre hinweg), entwicklen sich die Einnahmen und Userzahlen fast exponentiell, was bedeutet, dass es durchaus Sinn machen würde, den Start gewaltig zu beschleunigen, weil wir dann auch viel schneller in die schwarzen Zahlen kommen. 
- Weil wir x % der Einnahmen in Werbung investieren, ist die Entwicklung der Userzahlen "noch" exponentieller als ohnehin schon, schließlich bekommen wir durch mehr User mehr Einnahmen und investieren einen Teil dieser Einnahmen wieder in die Akquise neuer User. Der Kreislauf dreht sich immer schneller.</t>
        </r>
      </text>
    </comment>
    <comment ref="C45" authorId="0">
      <text>
        <r>
          <rPr>
            <b/>
            <sz val="9"/>
            <color indexed="81"/>
            <rFont val="Tahoma"/>
            <family val="2"/>
          </rPr>
          <t>Michael Schöggl:</t>
        </r>
        <r>
          <rPr>
            <sz val="9"/>
            <color indexed="81"/>
            <rFont val="Tahoma"/>
            <family val="2"/>
          </rPr>
          <t xml:space="preserve">
</t>
        </r>
        <r>
          <rPr>
            <b/>
            <sz val="9"/>
            <color indexed="81"/>
            <rFont val="Tahoma"/>
            <family val="2"/>
          </rPr>
          <t>Obergrenze. Wieviel € sollen maximalen pro Monat für Werbung ausgegeben werden?</t>
        </r>
        <r>
          <rPr>
            <sz val="9"/>
            <color indexed="81"/>
            <rFont val="Tahoma"/>
            <family val="2"/>
          </rPr>
          <t xml:space="preserve">
</t>
        </r>
        <r>
          <rPr>
            <u/>
            <sz val="9"/>
            <color indexed="81"/>
            <rFont val="Tahoma"/>
            <family val="2"/>
          </rPr>
          <t>Begründung für diesen Wert</t>
        </r>
        <r>
          <rPr>
            <sz val="9"/>
            <color indexed="81"/>
            <rFont val="Tahoma"/>
            <family val="2"/>
          </rPr>
          <t xml:space="preserve">:
- Es lassen sich nicht unbegrenzt viele Menschen monatlich mit bezahlter Werbung erreichen, ohne dass die Kosten pro neuem User durch Ineffizienz der Werbezugänge deutlich ansteigen. 
- Der Wert mit 10.000.000 € ist extrem hoch gewählt, weil es für ein Produkt wie connect a.) extrem viele verschiedene Möglichkeiten gibt, effektiv Werbung zu machen, und wir b.) bei den aktuellen Schätzungen auch genügend finanzielle Mittel hätten, um die besten Marketing-Profis weltweit einsetzen zu können.
- Solange uns jeder neue User weniger kostet, als er (mittelfristig) bringt, lohnt es sich, so viel Geld wie möglich in Werbung und Wachstum zu stecken. </t>
        </r>
      </text>
    </comment>
    <comment ref="B46" authorId="0">
      <text>
        <r>
          <rPr>
            <b/>
            <sz val="9"/>
            <color indexed="81"/>
            <rFont val="Tahoma"/>
            <family val="2"/>
          </rPr>
          <t>Michael Schöggl:</t>
        </r>
        <r>
          <rPr>
            <sz val="9"/>
            <color indexed="81"/>
            <rFont val="Tahoma"/>
            <family val="2"/>
          </rPr>
          <t xml:space="preserve">
</t>
        </r>
        <r>
          <rPr>
            <b/>
            <sz val="9"/>
            <color indexed="81"/>
            <rFont val="Tahoma"/>
            <family val="2"/>
          </rPr>
          <t>Wieviel Euro sollen insgesamt für eine "Boost-Kampagne" zu Beginn - d.h. nach dem offiziellem Release Mitte 2020 - ausgegeben werden?</t>
        </r>
        <r>
          <rPr>
            <sz val="9"/>
            <color indexed="81"/>
            <rFont val="Tahoma"/>
            <family val="2"/>
          </rPr>
          <t xml:space="preserve"> 
Verteilung ab Q3 2020 (pro Quartal): 35%, 30%, 20%, 15%
</t>
        </r>
        <r>
          <rPr>
            <u/>
            <sz val="9"/>
            <color indexed="81"/>
            <rFont val="Tahoma"/>
            <family val="2"/>
          </rPr>
          <t>Begründung für diesen Wert</t>
        </r>
        <r>
          <rPr>
            <sz val="9"/>
            <color indexed="81"/>
            <rFont val="Tahoma"/>
            <family val="2"/>
          </rPr>
          <t xml:space="preserve">:
- Je schneller unsere Userzahl </t>
        </r>
        <r>
          <rPr>
            <u/>
            <sz val="9"/>
            <color indexed="81"/>
            <rFont val="Tahoma"/>
            <family val="2"/>
          </rPr>
          <t>zu Beginn</t>
        </r>
        <r>
          <rPr>
            <sz val="9"/>
            <color indexed="81"/>
            <rFont val="Tahoma"/>
            <family val="2"/>
          </rPr>
          <t xml:space="preserve"> wächst, umso früher kommen wir in die Gewinnzone und umso mehr steigert sich auch das Wachstum von connect in den darauffolgenden Monaten. Darum lohnt es sich einen Teil des Investments gleich in bezahlte Werbung zu investieren - sofern die Mittel dafür übrig sind.
- Solange unsicher ist, ob jeder neue User wirklich mehr einbringt, als er kostet, stellt dieses Investment natürlich ein Risiko dar, darum macht diese Kampagne erst dann und nur solange Sinn, bis die Akquirierungskosten durch ein Ausschöpfen dieses Marketingzugangs zu hoch werden. Bevor wir so eine Kampagne starten, müssen wir genaue Zahlen zur Absprungrate und zu den ersten Einnahmen über den In-App-Shop haben, idealerweise auch die Wachstumsraten auf Basis der bereits bestehenden User. Diese Zahlen hier eingegeben erlauben einfache Hochrechnungen, ob sich das Investment lohnt. 
- Der hier eingetragene Betrag wird auf ein Jahr verteilt ausgegeben, davon 35% im 1. Quartal, 30% im 2. Quartal, 20% im 3. Quartal und 15% im 4. Quartal. Umso früher User akquiriert werden, umso stärker beeinflusst das den gesamten zukünftigen Verlauf positiv, aber gleichzeitig ergeben sich dadurch natürlich auch Risiken (z.B. kann der positive Werbeeffekt nicht beliebig weit hochskaliert werden). Das tatsächliche Tempo der Kampagne wird also von den konkreten Zahlen und Erfahrungen bis zu diesem Zeitpunkt abhängig gemacht.</t>
        </r>
      </text>
    </comment>
    <comment ref="A47" authorId="0">
      <text>
        <r>
          <rPr>
            <b/>
            <sz val="9"/>
            <color indexed="81"/>
            <rFont val="Tahoma"/>
            <family val="2"/>
          </rPr>
          <t xml:space="preserve">Michael Schöggl:
</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
</t>
        </r>
      </text>
    </comment>
    <comment ref="A49"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List>
</comments>
</file>

<file path=xl/sharedStrings.xml><?xml version="1.0" encoding="utf-8"?>
<sst xmlns="http://schemas.openxmlformats.org/spreadsheetml/2006/main" count="1713" uniqueCount="252">
  <si>
    <t>April</t>
  </si>
  <si>
    <t>August</t>
  </si>
  <si>
    <t>September</t>
  </si>
  <si>
    <t>November</t>
  </si>
  <si>
    <t>Q1</t>
  </si>
  <si>
    <t>Q2</t>
  </si>
  <si>
    <t>Q3</t>
  </si>
  <si>
    <t>Q4</t>
  </si>
  <si>
    <t>Q2 2020</t>
  </si>
  <si>
    <t>Q1 2020</t>
  </si>
  <si>
    <t>REAL</t>
  </si>
  <si>
    <t>Q3 2020</t>
  </si>
  <si>
    <t>Q4 2020</t>
  </si>
  <si>
    <t>https://qz.com/1053838/no-one-knows-how-much-money-wechat-is-making-and-bullish-tencent-hkg-0700-investors-dont-seem-to-care/</t>
  </si>
  <si>
    <t>http://www.mobyaffiliates.com/blog/average-cost-per-install-apps/</t>
  </si>
  <si>
    <t>http://www.gogochart.com/2016/08/08/7-things-you-need-to-know-about-app-cost-per-install-cpi-values/</t>
  </si>
  <si>
    <t>https://www.statista.com/statistics/247411/cost-per-installation-android-ios-worldwide/</t>
  </si>
  <si>
    <t>http://www.giga.de/apps/google-play-store/news/mobile-games-spieler-geben-im-durchschnitt-76-euro-fuer-in-app-kaeufe-aus/</t>
  </si>
  <si>
    <t>https://www.theguardian.com/news/datablog/2014/feb/04/facebook-in-numbers-statistics</t>
  </si>
  <si>
    <t>Facebook</t>
  </si>
  <si>
    <t>WhatsApp</t>
  </si>
  <si>
    <t>Instagram</t>
  </si>
  <si>
    <t>Twitter</t>
  </si>
  <si>
    <t>LinkedIn</t>
  </si>
  <si>
    <t>WeChat</t>
  </si>
  <si>
    <t>https://www.statista.com/statistics/264810/number-of-monthly-active-facebook-users-worldwide/</t>
  </si>
  <si>
    <t>https://www.thebalance.com/twitter-statistics-2008-2009-2010-2011-3515899</t>
  </si>
  <si>
    <t>https://www.quora.com/How-many-users-did-Twitter-have-after-its-first-year</t>
  </si>
  <si>
    <t>http://dstevenwhite.com/2011/12/29/social-media-growth-2006-2011/</t>
  </si>
  <si>
    <t>https://www.statista.com/statistics/260819/number-of-monthly-active-whatsapp-users/</t>
  </si>
  <si>
    <t>http://www.businessofapps.com/data/whatsapp-statistics/</t>
  </si>
  <si>
    <t>https://www.statista.com/statistics/255778/number-of-active-wechat-messenger-accounts/</t>
  </si>
  <si>
    <t>http://topdogsocialmedia.com/linkedin-history/</t>
  </si>
  <si>
    <t>https://en.wikipedia.org/wiki/Timeline_of_LinkedIn</t>
  </si>
  <si>
    <t>http://www.adweek.com/digital/instagram-gained-100-million-users-6-months-now-has-600-million-accounts-175126/</t>
  </si>
  <si>
    <t>https://www.statista.com/statistics/253577/number-of-monthly-active-instagram-users/</t>
  </si>
  <si>
    <t>https://en.wikipedia.org/wiki/List_of_social_networking_websites</t>
  </si>
  <si>
    <t>connect</t>
  </si>
  <si>
    <t>kein Vergleich</t>
  </si>
  <si>
    <t>+ %</t>
  </si>
  <si>
    <t>.</t>
  </si>
  <si>
    <t>https://www.invespcro.com/blog/in-app-purchase-revenue/</t>
  </si>
  <si>
    <t>https://www.appsflyer.com/pr/new-report-global-app-spending-habits-finds-asian-consumers-spend-40-apps-rest-world/</t>
  </si>
  <si>
    <t>https://sweetpricing.com/blog/2016/10/mobile-app-monetization-stats/</t>
  </si>
  <si>
    <t>https://de.statista.com/outlook/212/100/online-games/weltweit#market-users</t>
  </si>
  <si>
    <t>Worst Case</t>
  </si>
  <si>
    <t xml:space="preserve">1,00 = </t>
  </si>
  <si>
    <t>1 User</t>
  </si>
  <si>
    <t>in Euro</t>
  </si>
  <si>
    <t>1,00 =</t>
  </si>
  <si>
    <t>1 %</t>
  </si>
  <si>
    <t xml:space="preserve">1 = </t>
  </si>
  <si>
    <t>1 =</t>
  </si>
  <si>
    <t>Userzahl, Einnahmen, Ausgaben und Ergebnis für die Jahre 2020, 2021, 2022 und 2023</t>
  </si>
  <si>
    <t>Wachstums-Kurve von connect "Realistisch" verglichen mit erfolgreichen Social Networks</t>
  </si>
  <si>
    <t>All comments in the other tabs (see boxes with red triangle in the upper right corner) refer to our "realistic" forecast. Comments on the other forecasts can be found in the relevant fields.</t>
  </si>
  <si>
    <t>We also ask you to read the arguments behind the questions, because in order to make a good estimate you need as much knowledge as possible about the starting position and some imagination. Both require information about our project.</t>
  </si>
  <si>
    <t>Of course, the values will change over time, but please calculate using an average value. These questions are only to enable a quick, rough assessment for the forecasts and all the details are adjustable!</t>
  </si>
  <si>
    <t>Argument 1: Users receive exclusive content, e.g. virtual pets that they will want to proudly show their friends. These cute, realistic pets can learn tricks and you can influence their behavior.</t>
  </si>
  <si>
    <t>Argument 2: connect is currently one of the most realistic, most interactive VR experiences, it is accessible to everyone free of charge and will be viewed as exciting for the friends of our users. connect can be accessed on almost any device.</t>
  </si>
  <si>
    <t>Argument 3: Successful social networks are growing at a rate of several hundred percent per year, especially in the early years (our forecast refers to the first 3 years). Just by word of mouth, the user numbers can explode.</t>
  </si>
  <si>
    <t>Own</t>
  </si>
  <si>
    <t>Estimation:</t>
  </si>
  <si>
    <t>Argument 2: "Investments" bind users in the long term. Examples: Personalization (everything set up with love), chat history in multi-messenger, media favorites, exclusive, rare, valuable content, elaborately bred, virtual pets …</t>
  </si>
  <si>
    <t>Argument 3: Thanks to the Multimessenger, all contacts from all other networks are integrated into connect. As long as connect is "full of users", my investments in this VR world have a high value. No short trend, but a social network for everyone.</t>
  </si>
  <si>
    <t>Argument 1: The benefits of connect can be portrayed very easily in a short video using impressive graphics, presented in the virtual home ( pets, media, etc.). Turning off new videos in connect is easy.</t>
  </si>
  <si>
    <t>Argument 3: It is clear to us that this value is perhaps the most important factor of all for rapid success, and we will therefore focus on its optimization.</t>
  </si>
  <si>
    <t>Argument 2: Total value from all stores and organic searches: Google search or YouTube (with homepage download), Play Store, App Store (iOS), Steam (game platform) and PlayStation (almost no free VR competition).</t>
  </si>
  <si>
    <t>Argument 3: The more popular connect is, the higher it appears in the search ranking order. With store optimizations, investments and new users we could quickly get into the top 10 for many keywords.</t>
  </si>
  <si>
    <t>Argument 1: 50 Cent revenue when a user has viewed the 3D model of a branded product for at least 5 hours. Or less for less viewing time. Most models are directly in the field of view of the "active zones".</t>
  </si>
  <si>
    <t>Argument 3: The user can change the 3D model in a slot (e.g., the virtual camera). Nikon, then Canon. Thus, 50 cents can be earned several times per slot and year. At Social Places we change ourselves regularly.</t>
  </si>
  <si>
    <t>Argument 2: In the beginning there are about 15 different "slots" (= places where a branded product is located in VR). But base an estimate on 30+ slots, because connect is rapidly developing many more rooms and social areas (e.g. a bar).</t>
  </si>
  <si>
    <t>6.) How many € a year will we earn on average from an active user for in-app purchases?</t>
  </si>
  <si>
    <t>Argument 1: These exclusive digital contents increase the fictional social status of the users. The user can actively influence his "real" status power, rather than indirect a game character. Real friends (not other gamers) are impressed with it.</t>
  </si>
  <si>
    <t>Argument 2: The user buys e.g. an egg, usually a chick hatches, occasionally a duckling and very rarely a crocodile baby. Different common variants of all animals are possible. Some users will buy 100 eggs until they get a black (!)crocodile.</t>
  </si>
  <si>
    <t>Argument 3: Complete VR settings (such as the Oval Office, Star Wars or a Pirate Ship) are cheap (1-10 €), photorealistic and interactive. Likewise, games, gifts for friends / lovers (rose, jewelry, etc.) or functions (change weather).</t>
  </si>
  <si>
    <t>Argument 1: Almost every large company will soon want to have a VR shop. We can connect most of them. Without our platform these shops can hardly reach this market, customers would have to download a new app for each individual shop.</t>
  </si>
  <si>
    <t>Argument 2: Advantages over online shopping: collecting VR products (e.g., shoes) in the virtual home, admiring one's avatar, showing others in VR, 3Dimensional, photorealistic, interactive, customizable (e.g., different color).</t>
  </si>
  <si>
    <t>Argument 3: If we have enough users, a whole third-party market can develop selling virtual pets, alternative VR scenes, games, etc. (see Facebook). We get 30% commission. Like an app store just for VR.</t>
  </si>
  <si>
    <t xml:space="preserve">Argument 1: If a user sends messages via SMS, mail or to Facebook or other networks from connect, the following message is attached: "sent by connect". At some point the receiver is curious and our user is advertising. </t>
  </si>
  <si>
    <t xml:space="preserve">Argument 2: Psychology: People defend their own decisions and using connect is a decision. Those who explain the "sent by connect", also explain why connect is so great that they use it, justifying their own decision. </t>
  </si>
  <si>
    <t>Argument 3: Active social network or messenger users regularly send "sent by connect" to their hundreds of friends. If someone gets this attachment from several friends by mail, SMS, FB, etc., then he will ask what it is and why he should have it.</t>
  </si>
  <si>
    <t>Argument 1: Users can share (360 degree) photos and videos of their VR home or virtual pet in all other networks (FB, Snapchat, Instagram, etc.). We promote this with "successes", competitions and rewards (VR content).</t>
  </si>
  <si>
    <t>Argument 2: Via the multi-messenger connect-exclusive, super cute stickers, sounds, short videos, etc. can also be sent to other networks. "Where did you get that cute sticker ?!" - "From connect, do you not know about that yet ?!"</t>
  </si>
  <si>
    <t>Argument 3: Sensational Photo and Video Shares: My Facebook photos appear on your virtual walls, my videos are on your TV; the view from your VR window is my holiday photo, my face adorns your VR toilet.</t>
  </si>
  <si>
    <t>Argument 1: Realistic sounds serve as ringtones and attract attention. For example, a hiccough, a coin falling to the ground, a can opening, a wolf whistle, a puppy whimpering ... "Was that you?" - "Yes, my new app."</t>
  </si>
  <si>
    <t>Argument 2: Our user rotates their phone to landscape mode as if it were a steering wheel. Anywhere and everywhere: waiting rooms, trams, under the school desk. They try to crack the code of the virtual vault to get unique rewards.</t>
  </si>
  <si>
    <t>Argument 3: In the disco, the mobile phone on the bar begins to flash and glow like crazy. It has detected, by volume measurement, that at 80 dB light is better suited for announcing new messages than a ringtone.</t>
  </si>
  <si>
    <t>Argument 1: Media sources doing video, audio, print, Internet or VR reports about us get to use our interface for x months for free. Your media appears automatically in our VR world. Larger target group, modern image.</t>
  </si>
  <si>
    <t>Argument 2: "Messengers, Social Networks, VR" - they interest almost everyone. We have many media, also VR-capable. We also have a press kit including many finished texts. Low effort. Paid Content + Subscription via connect is possible!</t>
  </si>
  <si>
    <t>Argument 3: We have 200,000 (!) mail addresses of worldwide media. In return the media can receive big data about their consumers, this brings higher advertising revenues: correlations between personality and consumer behavior consumption.</t>
  </si>
  <si>
    <t>Argument 1: The absolute upper limit of our user numbers. Achieving half this value, all previous growth parameters would only be half as effective! Therefore please carefully estimate the actual maximum.</t>
  </si>
  <si>
    <t>Argument 3: Facebook was once also just a homepage. connect will do everything possible to appeal to as many people as possible. We will make connect so modular and customizable that really everyone gets their money's worth.</t>
  </si>
  <si>
    <t>1 Mio</t>
  </si>
  <si>
    <t>All questions answered? Then please take a look at the forecast based on your own estimates in the tab "Result own estimate" (bar below).</t>
  </si>
  <si>
    <t>Note: Of course, the actual value depends on the individual product. connect has so much to offer that we should do better and not worse than average.</t>
  </si>
  <si>
    <t>Cost per new user (CPI)</t>
  </si>
  <si>
    <t>01: Average cost per installation, according to Statista: 0,44 Dollar</t>
  </si>
  <si>
    <t>02: CPI for Android USA: $ 1.91, Europe: $ 0.99</t>
  </si>
  <si>
    <t>03: Average cost per active user: &lt; 3 €</t>
  </si>
  <si>
    <t>Revenue per user through in-app purchases (IAP, ARPU)</t>
  </si>
  <si>
    <t>04: EU: € 0.26, Asia: $ 0.7, US: $ 0.62 per month / user for in-app purchases</t>
  </si>
  <si>
    <t>05: $ 0.32 a month for IAP, but $ 2.68 a month for shopping apps</t>
  </si>
  <si>
    <t>06: Potential: up to an average of € 76 per user / year for in-app purchases</t>
  </si>
  <si>
    <t>07: WeChat: 8.4 billion in Q4 2017 with 963 million users (€ 35 per user / year)</t>
  </si>
  <si>
    <t>08: ARPU (revenue per user) at Online Games 2017 at an average of € 20.69</t>
  </si>
  <si>
    <t>12: many more links to in-app purchases</t>
  </si>
  <si>
    <t>Year</t>
  </si>
  <si>
    <t>Your Estimation</t>
  </si>
  <si>
    <t>Realistic</t>
  </si>
  <si>
    <t>Optimistic</t>
  </si>
  <si>
    <t>Pessimistic</t>
  </si>
  <si>
    <t>Possible</t>
  </si>
  <si>
    <t>Cautious</t>
  </si>
  <si>
    <t>Yellow = year of foundation. By the fifth year or so, growth rates of 100% + per year and a total of approx. 150 million users will be reached.</t>
  </si>
  <si>
    <t>At the end of the third year, the most successful networks had between 4 and 80 million users, or WeChat 355 million (red = estimated value).</t>
  </si>
  <si>
    <t>From approximately 600 million users, networks grow at a slower rate than 50% per year, but until then we have enough room to grow.</t>
  </si>
  <si>
    <t xml:space="preserve">The growth forecast for connect is modest compared to the development of other networks, connect would be, despite high profitability, </t>
  </si>
  <si>
    <t>because connect offers something completely new in many areas and is not a functional / optical copy.</t>
  </si>
  <si>
    <t>This chart compares the growth curves of the most successful social networks worldwide and maps the forecast for connect.</t>
  </si>
  <si>
    <t>Very specialized or functionally limited networks - e.g. LinkedIn or Twitter - of course grow much more slowly.</t>
  </si>
  <si>
    <t>connect is extremely versatile (multimedia / -Messenger, VR, customization, all devices, etc.) and so appeals to a large audience.</t>
  </si>
  <si>
    <t>connect is extremely versatile, not specalised and stands out from anything else (VR, Multimessenger, all devices, etc.)</t>
  </si>
  <si>
    <t>connect will easily compete with mediocre networks with millions of users.</t>
  </si>
  <si>
    <t xml:space="preserve">This is already enough to generate high profits, because in contrast to WhatsApp and Co, connect also has several working </t>
  </si>
  <si>
    <t>business models; in addition there is the goodwill value (about $ 50 per user, see acquisitions LinkedIn, WhatsApp, etc.).</t>
  </si>
  <si>
    <t>Sources</t>
  </si>
  <si>
    <t>3-Years-Plan - e.com GmbH</t>
  </si>
  <si>
    <t>Estimation e.com:</t>
  </si>
  <si>
    <t>(Overwrites to B/C)</t>
  </si>
  <si>
    <t>1.1 New users from paid advertising (e.g., YouTube, Facebook)</t>
  </si>
  <si>
    <t>1.2 New users from organic search (= free of charge)</t>
  </si>
  <si>
    <t>1.3 New users from free reporting (media cooperation)</t>
  </si>
  <si>
    <t>1.4 New users from free advertising through partners (VR shops, etc.)</t>
  </si>
  <si>
    <t>Sum A: New users by 1.1 - 1.4 (minus saturation)</t>
  </si>
  <si>
    <t>1.5 Growth rate through self-contained word of mouth</t>
  </si>
  <si>
    <t>1.6 Growth rate through "sent by connect" / multi-messenger sharing</t>
  </si>
  <si>
    <t>1.8 Growth Rate by Rewarding Friends Advertising</t>
  </si>
  <si>
    <t>1.7 Growth rate through (rewarded) social media sharing (e.g. 360 °)</t>
  </si>
  <si>
    <t>1.9 Growth rate through initialized word of mouth (sounds, safe ...)</t>
  </si>
  <si>
    <t>Sum B: growth rate by 1.5 - 1.9 (less saturation)</t>
  </si>
  <si>
    <t>1.11 Percentage of all previous users who quit connect per month</t>
  </si>
  <si>
    <t>Total growth rate per month (sum A + B - 1.11)</t>
  </si>
  <si>
    <t>Total new users per quarter less those leaving</t>
  </si>
  <si>
    <t>2.1 In-app purchases (pets, games, items, 3D scenes, updates ...) (B2C)</t>
  </si>
  <si>
    <t>2.2 Product placement (initially 15+ branded products) (B2B)</t>
  </si>
  <si>
    <t>2.3 Provision for Third Party Content (Games, Scenes, Media ...) (B2B)</t>
  </si>
  <si>
    <t>2.4 Revenue from commission for connected external VR shops (B2B)</t>
  </si>
  <si>
    <t>2.5 Commission for direct online purchases (in the virtual home) (B2B)</t>
  </si>
  <si>
    <t>2.6 Revenue subscription for media partners (B2B)</t>
  </si>
  <si>
    <t>2.7 Income Sale of virtual land (B2B)</t>
  </si>
  <si>
    <t>2.8 Advertising in own media (e.g., user video channel) (B2B)</t>
  </si>
  <si>
    <t>2.9 One-time revenue for promotions or partnerships (B2B)</t>
  </si>
  <si>
    <t>3.1 Fixed capital investment</t>
  </si>
  <si>
    <t>3.2 Personnel (including social insurance, aliquot 13./14 salary, UG, etc.)</t>
  </si>
  <si>
    <t>3.3 Material / goods</t>
  </si>
  <si>
    <t>3.4 Operating expenses</t>
  </si>
  <si>
    <t>3.5 In-App Sales Transaction Fees (2.1) in the Google Play Store</t>
  </si>
  <si>
    <t>3.5 Interest and loan repayment</t>
  </si>
  <si>
    <t>Input fields right</t>
  </si>
  <si>
    <t>change 3.13 at Expenses</t>
  </si>
  <si>
    <t>Estimation 2020</t>
  </si>
  <si>
    <t>Sum</t>
  </si>
  <si>
    <t>Last Stand</t>
  </si>
  <si>
    <t>January</t>
  </si>
  <si>
    <t>March</t>
  </si>
  <si>
    <t>May</t>
  </si>
  <si>
    <t>June</t>
  </si>
  <si>
    <t>July</t>
  </si>
  <si>
    <t>October</t>
  </si>
  <si>
    <t>December</t>
  </si>
  <si>
    <t>Estimated</t>
  </si>
  <si>
    <t>February</t>
  </si>
  <si>
    <t>User growth of connect "Your Estimation (You)" compared to other successful social networks</t>
  </si>
  <si>
    <t>Growth curve of connect "Your Estimation (You)" compared to other successful social networks</t>
  </si>
  <si>
    <t>Rest</t>
  </si>
  <si>
    <t>Possible+</t>
  </si>
  <si>
    <t>Costs</t>
  </si>
  <si>
    <t>Expenses for User Acquisition</t>
  </si>
  <si>
    <t>Personnel Expenses</t>
  </si>
  <si>
    <t>Profit</t>
  </si>
  <si>
    <t>Total Growth Rate</t>
  </si>
  <si>
    <t>no comparison</t>
  </si>
  <si>
    <t>New Users Total</t>
  </si>
  <si>
    <t>Users Total</t>
  </si>
  <si>
    <t>Estimation 2021</t>
  </si>
  <si>
    <t>Extremely speculative projections!</t>
  </si>
  <si>
    <t>Q4 2021</t>
  </si>
  <si>
    <t>Q1 2021</t>
  </si>
  <si>
    <t>Q2 2021</t>
  </si>
  <si>
    <t>Q3 2021</t>
  </si>
  <si>
    <t xml:space="preserve">Notes:    </t>
  </si>
  <si>
    <t>Users who leave connect</t>
  </si>
  <si>
    <t>3.6 Sales Tax</t>
  </si>
  <si>
    <t>3.7 Corporate Tax (and Income Tax)</t>
  </si>
  <si>
    <t>3.8 Private withdrawal of managing director / managing director salary</t>
  </si>
  <si>
    <t>3.9 User-dependent costs (including server costs, licenses, service)</t>
  </si>
  <si>
    <t>3.10 Outsourcing, external services and other expenses</t>
  </si>
  <si>
    <t>3.11 Cost per new user through paid advertising</t>
  </si>
  <si>
    <t>3.12 Expenditure on advertising (x percent of revenue)</t>
  </si>
  <si>
    <t>3.13 Advertising expenses (absolute value)</t>
  </si>
  <si>
    <r>
      <t xml:space="preserve">3-Years-Plan - Short Version                                           </t>
    </r>
    <r>
      <rPr>
        <b/>
        <sz val="11"/>
        <color theme="0" tint="-0.34998626667073579"/>
        <rFont val="Helvetica"/>
      </rPr>
      <t>(Numbers from "Cautious" - see Tabs below)</t>
    </r>
  </si>
  <si>
    <r>
      <t xml:space="preserve">Growth in Absolute Users </t>
    </r>
    <r>
      <rPr>
        <sz val="11"/>
        <color theme="0" tint="-0.499984740745262"/>
        <rFont val="Helvetica"/>
      </rPr>
      <t>(Advertising, see Line 15)</t>
    </r>
  </si>
  <si>
    <r>
      <t>Sale of Virtual Goods</t>
    </r>
    <r>
      <rPr>
        <sz val="11"/>
        <color theme="0" tint="-0.499984740745262"/>
        <rFont val="Helvetica"/>
      </rPr>
      <t xml:space="preserve"> (Own and Third Party)</t>
    </r>
  </si>
  <si>
    <r>
      <t xml:space="preserve">Sale of Real Goods </t>
    </r>
    <r>
      <rPr>
        <sz val="11"/>
        <color theme="0" tint="-0.499984740745262"/>
        <rFont val="Helvetica"/>
      </rPr>
      <t>(Commission from VR Shops, etc.)</t>
    </r>
  </si>
  <si>
    <r>
      <t xml:space="preserve">Big Data &amp; Advertising </t>
    </r>
    <r>
      <rPr>
        <sz val="11"/>
        <color theme="0" tint="-0.499984740745262"/>
        <rFont val="Helvetica"/>
      </rPr>
      <t>(Product Placement, etc.)</t>
    </r>
  </si>
  <si>
    <r>
      <t xml:space="preserve">Revenue </t>
    </r>
    <r>
      <rPr>
        <sz val="11"/>
        <color theme="0" tint="-0.499984740745262"/>
        <rFont val="Helvetica"/>
      </rPr>
      <t>(here: Total, above: per User / Year)</t>
    </r>
  </si>
  <si>
    <r>
      <t xml:space="preserve">If you wish, you can research statistical values - but please keep in mind that connect is better than average in many ways. </t>
    </r>
    <r>
      <rPr>
        <b/>
        <sz val="8"/>
        <rFont val="Helvetica"/>
      </rPr>
      <t>If needed, you can also find "Links to Statistics" in the tabs at the bottom left.</t>
    </r>
  </si>
  <si>
    <r>
      <rPr>
        <b/>
        <sz val="12"/>
        <rFont val="Helvetica"/>
      </rPr>
      <t xml:space="preserve">Example sources for estimates </t>
    </r>
    <r>
      <rPr>
        <sz val="12"/>
        <color theme="0" tint="-0.499984740745262"/>
        <rFont val="Helvetica"/>
      </rPr>
      <t>(please google yourself, even if many of these figures have been confirmed by your own experience or experts).</t>
    </r>
  </si>
  <si>
    <r>
      <rPr>
        <u/>
        <sz val="10"/>
        <rFont val="Helvetica"/>
      </rPr>
      <t>Overview social networks worldwide</t>
    </r>
    <r>
      <rPr>
        <sz val="10"/>
        <rFont val="Helvetica"/>
      </rPr>
      <t xml:space="preserve">: almost all are </t>
    </r>
    <r>
      <rPr>
        <i/>
        <sz val="10"/>
        <rFont val="Helvetica"/>
      </rPr>
      <t>highly specialized</t>
    </r>
    <r>
      <rPr>
        <sz val="10"/>
        <rFont val="Helvetica"/>
      </rPr>
      <t>, but still have 500k to x million users</t>
    </r>
  </si>
  <si>
    <t>Please use the questions below to estimate the most important values of our 3-year forecast for yourself (preferably before you look at the rest!)</t>
  </si>
  <si>
    <r>
      <t>ATTENTION</t>
    </r>
    <r>
      <rPr>
        <b/>
        <sz val="8"/>
        <color theme="1"/>
        <rFont val="Helvetica"/>
      </rPr>
      <t>: In the bar at the bottom left are other tabs ("Resul of your Estimation", "Links to statistics", etc.). The best way to view this estimate is firstly "Result of your Estimation", and then continue to the other tabs.</t>
    </r>
  </si>
  <si>
    <t>1. User numbers (per month)</t>
  </si>
  <si>
    <r>
      <rPr>
        <b/>
        <sz val="10"/>
        <color theme="0" tint="-0.499984740745262"/>
        <rFont val="Helvetica"/>
      </rPr>
      <t>*</t>
    </r>
    <r>
      <rPr>
        <sz val="10"/>
        <color theme="0" tint="-0.499984740745262"/>
        <rFont val="Helvetica"/>
      </rPr>
      <t xml:space="preserve"> "Additive Growth Rate": This results from four tricks to make every user an influencer - please see comments in "Cautious" (A10 - A13) &amp; "Comparision successful Networks"</t>
    </r>
  </si>
  <si>
    <r>
      <t xml:space="preserve">Additive Growth Rate </t>
    </r>
    <r>
      <rPr>
        <sz val="11"/>
        <color theme="0" tint="-0.499984740745262"/>
        <rFont val="Helvetica"/>
      </rPr>
      <t xml:space="preserve">(as a Percentage of User Base) </t>
    </r>
    <r>
      <rPr>
        <b/>
        <sz val="12"/>
        <color theme="0" tint="-0.499984740745262"/>
        <rFont val="Helvetica"/>
      </rPr>
      <t>*</t>
    </r>
  </si>
  <si>
    <r>
      <t xml:space="preserve">Q1 </t>
    </r>
    <r>
      <rPr>
        <sz val="7"/>
        <color theme="0"/>
        <rFont val="Helvetica"/>
      </rPr>
      <t>- ALPHA</t>
    </r>
  </si>
  <si>
    <r>
      <t xml:space="preserve">Q2 </t>
    </r>
    <r>
      <rPr>
        <sz val="7"/>
        <color theme="0"/>
        <rFont val="Helvetica"/>
      </rPr>
      <t>- ALPHA</t>
    </r>
  </si>
  <si>
    <t>Total active users (average per quarter)</t>
  </si>
  <si>
    <t>2. Income (per month)</t>
  </si>
  <si>
    <t>Total revenue (per quarter)</t>
  </si>
  <si>
    <t>3. Expenses (per month)</t>
  </si>
  <si>
    <t>4. Result (per quarter)</t>
  </si>
  <si>
    <r>
      <t>11.)  What percentage of growth per year can we expect from the reports of our media partners</t>
    </r>
    <r>
      <rPr>
        <b/>
        <sz val="8"/>
        <color theme="0" tint="-0.14999847407452621"/>
        <rFont val="Helvetica"/>
      </rPr>
      <t xml:space="preserve"> </t>
    </r>
    <r>
      <rPr>
        <sz val="8"/>
        <color theme="0" tint="-0.14999847407452621"/>
        <rFont val="Helvetica"/>
      </rPr>
      <t>(video, audio, print, internet, VR)</t>
    </r>
    <r>
      <rPr>
        <b/>
        <sz val="8"/>
        <rFont val="Helvetica"/>
      </rPr>
      <t>? They must report regularly to access our free media interface!</t>
    </r>
  </si>
  <si>
    <r>
      <t xml:space="preserve">10.) How many new users per year and per existing user we can count on for initialized word of mouth </t>
    </r>
    <r>
      <rPr>
        <sz val="8"/>
        <color theme="0" tint="-0.14999847407452621"/>
        <rFont val="Helvetica"/>
      </rPr>
      <t>(description: see arguments)</t>
    </r>
    <r>
      <rPr>
        <b/>
        <sz val="8"/>
        <rFont val="Helvetica"/>
      </rPr>
      <t>?</t>
    </r>
  </si>
  <si>
    <r>
      <t>7.) How many € per year and user do we earn through commission from VR shops</t>
    </r>
    <r>
      <rPr>
        <b/>
        <sz val="8"/>
        <color theme="0" tint="-0.14999847407452621"/>
        <rFont val="Helvetica"/>
      </rPr>
      <t xml:space="preserve"> </t>
    </r>
    <r>
      <rPr>
        <sz val="8"/>
        <color theme="0" tint="-0.14999847407452621"/>
        <rFont val="Helvetica"/>
      </rPr>
      <t>(in the long run hundreds of providers)</t>
    </r>
    <r>
      <rPr>
        <b/>
        <sz val="8"/>
        <rFont val="Helvetica"/>
      </rPr>
      <t>, VR shopping</t>
    </r>
    <r>
      <rPr>
        <b/>
        <sz val="8"/>
        <color theme="0" tint="-0.14999847407452621"/>
        <rFont val="Helvetica"/>
      </rPr>
      <t xml:space="preserve"> </t>
    </r>
    <r>
      <rPr>
        <sz val="8"/>
        <color theme="0" tint="-0.14999847407452621"/>
        <rFont val="Helvetica"/>
      </rPr>
      <t>(buy objects directly from the virtual home)</t>
    </r>
    <r>
      <rPr>
        <b/>
        <sz val="8"/>
        <color theme="0" tint="-0.14999847407452621"/>
        <rFont val="Helvetica"/>
      </rPr>
      <t xml:space="preserve"> </t>
    </r>
    <r>
      <rPr>
        <b/>
        <sz val="8"/>
        <rFont val="Helvetica"/>
      </rPr>
      <t>and third-party content</t>
    </r>
    <r>
      <rPr>
        <b/>
        <sz val="8"/>
        <color theme="0" tint="-0.14999847407452621"/>
        <rFont val="Helvetica"/>
      </rPr>
      <t xml:space="preserve"> </t>
    </r>
    <r>
      <rPr>
        <sz val="8"/>
        <color theme="0" tint="-0.14999847407452621"/>
        <rFont val="Helvetica"/>
      </rPr>
      <t>(games, VR scenes, etc.)</t>
    </r>
    <r>
      <rPr>
        <b/>
        <sz val="8"/>
        <rFont val="Helvetica"/>
      </rPr>
      <t>?</t>
    </r>
  </si>
  <si>
    <r>
      <t xml:space="preserve">5.) How many € per year can we earn from an active user in advertising through product placement? </t>
    </r>
    <r>
      <rPr>
        <sz val="8"/>
        <color theme="0" tint="-0.14999847407452621"/>
        <rFont val="Helvetica"/>
      </rPr>
      <t>(Subliminal advertising by brand products as 3D models.)</t>
    </r>
  </si>
  <si>
    <r>
      <t>4.) How many new users per month will we gain through "organic search"?</t>
    </r>
    <r>
      <rPr>
        <sz val="8"/>
        <color theme="0" tint="-0.499984740745262"/>
        <rFont val="Helvetica"/>
      </rPr>
      <t xml:space="preserve"> </t>
    </r>
    <r>
      <rPr>
        <sz val="8"/>
        <color theme="0" tint="-0.14999847407452621"/>
        <rFont val="Helvetica"/>
      </rPr>
      <t>E.g. users searching for specific topics such as "VR", "secure Messenger", "VR Social Network" or "virtual pets".</t>
    </r>
  </si>
  <si>
    <r>
      <t>3.) How much paid advertising will each new user cost us</t>
    </r>
    <r>
      <rPr>
        <b/>
        <sz val="8"/>
        <color theme="0" tint="-0.14999847407452621"/>
        <rFont val="Helvetica"/>
      </rPr>
      <t xml:space="preserve"> </t>
    </r>
    <r>
      <rPr>
        <sz val="8"/>
        <color theme="0" tint="-0.14999847407452621"/>
        <rFont val="Helvetica"/>
      </rPr>
      <t>(for example, funny, cool (VR) videos)</t>
    </r>
    <r>
      <rPr>
        <b/>
        <sz val="8"/>
        <rFont val="Helvetica"/>
      </rPr>
      <t>?</t>
    </r>
    <r>
      <rPr>
        <sz val="8"/>
        <color theme="0" tint="-0.499984740745262"/>
        <rFont val="Helvetica"/>
      </rPr>
      <t xml:space="preserve"> </t>
    </r>
    <r>
      <rPr>
        <sz val="8"/>
        <color theme="0" tint="-0.14999847407452621"/>
        <rFont val="Helvetica"/>
      </rPr>
      <t>(Example: We spend x Euro on advertising and get y new users for it.) What does a user cost on average?)</t>
    </r>
  </si>
  <si>
    <r>
      <t xml:space="preserve">2.)  What percentage of the existing users leave connect per year? </t>
    </r>
    <r>
      <rPr>
        <sz val="8"/>
        <color theme="0" tint="-0.14999847407452621"/>
        <rFont val="Helvetica"/>
      </rPr>
      <t>The value can also be higher than 100% if the average user, according to the forecast, stays less than one year!</t>
    </r>
  </si>
  <si>
    <r>
      <t>1.) How many new users does each existing user bring to connect per year</t>
    </r>
    <r>
      <rPr>
        <b/>
        <sz val="8"/>
        <color theme="0" tint="-0.14999847407452621"/>
        <rFont val="Helvetica"/>
      </rPr>
      <t xml:space="preserve"> (through word of mouth)</t>
    </r>
    <r>
      <rPr>
        <b/>
        <sz val="8"/>
        <rFont val="Helvetica"/>
      </rPr>
      <t xml:space="preserve">? </t>
    </r>
    <r>
      <rPr>
        <sz val="8"/>
        <color theme="0" tint="-0.14999847407452621"/>
        <rFont val="Helvetica"/>
      </rPr>
      <t>When they show connect to others, or someone looks over their shoulder? The partner, the best friend, the parents ...?</t>
    </r>
  </si>
  <si>
    <r>
      <t xml:space="preserve">8.) How many new users per year and per existing user can we count on gaining through our multimessenger attachment </t>
    </r>
    <r>
      <rPr>
        <sz val="8"/>
        <color theme="0" tint="-0.14999847407452621"/>
        <rFont val="Helvetica"/>
      </rPr>
      <t>(“sent by connect”)</t>
    </r>
    <r>
      <rPr>
        <sz val="8"/>
        <rFont val="Helvetica"/>
      </rPr>
      <t xml:space="preserve">  </t>
    </r>
    <r>
      <rPr>
        <b/>
        <sz val="8"/>
        <rFont val="Helvetica"/>
      </rPr>
      <t>sent into other networks?</t>
    </r>
  </si>
  <si>
    <r>
      <t xml:space="preserve">9.) How many new users per year and per existing user can we count on through self-contained or rewarded, subsidized social media sharing? </t>
    </r>
    <r>
      <rPr>
        <sz val="8"/>
        <color theme="0" tint="-0.14999847407452621"/>
        <rFont val="Helvetica"/>
      </rPr>
      <t>(These share and show our special features)</t>
    </r>
  </si>
  <si>
    <r>
      <t>12.) What is the maximum target audience</t>
    </r>
    <r>
      <rPr>
        <b/>
        <sz val="8"/>
        <color theme="0" tint="-0.14999847407452621"/>
        <rFont val="Helvetica"/>
      </rPr>
      <t xml:space="preserve"> </t>
    </r>
    <r>
      <rPr>
        <sz val="8"/>
        <color theme="0" tint="-0.14999847407452621"/>
        <rFont val="Helvetica"/>
      </rPr>
      <t xml:space="preserve">(in millions) </t>
    </r>
    <r>
      <rPr>
        <b/>
        <sz val="8"/>
        <rFont val="Helvetica"/>
      </rPr>
      <t xml:space="preserve">that connect can aim for in the long term? </t>
    </r>
    <r>
      <rPr>
        <sz val="8"/>
        <color theme="0" tint="-0.14999847407452621"/>
        <rFont val="Helvetica"/>
      </rPr>
      <t>The closer we get, the slower connect grows: 90% achieved = only 10% of the previous growth.</t>
    </r>
  </si>
  <si>
    <t>Estimation 2022</t>
  </si>
  <si>
    <t>Q1 2022</t>
  </si>
  <si>
    <t>Q2 2022</t>
  </si>
  <si>
    <t>Q3 2022</t>
  </si>
  <si>
    <t>Q4 2022</t>
  </si>
  <si>
    <t>End 2019</t>
  </si>
  <si>
    <t>Total expenses (per quarter)</t>
  </si>
  <si>
    <t>User, income, expenses and result for 2020 and 2021</t>
  </si>
  <si>
    <t>User, income, expenses and result for 2022, 2023, 2024 and 2025</t>
  </si>
  <si>
    <t xml:space="preserve">still a dwarf (especially if the curves of the competitors for the years 2020 to 2025 are considered further). There is still a lot of room for improvement, </t>
  </si>
  <si>
    <t>https://www.businessofapps.com/data/whatsapp-statistics/#1</t>
  </si>
  <si>
    <t>https://zephoria.com/top-15-valuable-facebook-statistics/</t>
  </si>
  <si>
    <t>Argument 1: Please estimate from the middle of 2020 when connect is complete, usability issues and annoying bugs have been fixed, first feedback processed and cool features (such as multimedia, customization, etc.) completed.</t>
  </si>
  <si>
    <t>Argument 2: In the first half of 2020, we will test and evaluate various marketing channels and then optimize and constantly refine the one with the best success rate. We have professionals as consultants.</t>
  </si>
  <si>
    <t>Argument 1: Please estimate from the middle of 2020, if connect is also available on the PlayStation as one of the few (free) VR content suppliers and as the only messenger (which even enable SMS, email and Facebook chat from the PS4).</t>
  </si>
  <si>
    <t>Argument 2: From mid-2020, connect will support virtually every device, including all popular VR solutions. Plus: Own version with simple app design without virtual space or 3D (for older hardware or as a functional "business application").</t>
  </si>
  <si>
    <t>All estimated values (e.g. for our revenue) are based on industry comparisons (see "Links to Statistics") and were compiled with several experts.</t>
  </si>
  <si>
    <t>These numbers are only sums of the "Cautious" forecast (see next tab in the footer below), for more details please check the comments there.</t>
  </si>
  <si>
    <r>
      <t xml:space="preserve">This is our </t>
    </r>
    <r>
      <rPr>
        <b/>
        <i/>
        <sz val="10"/>
        <rFont val="Helvetica"/>
      </rPr>
      <t>cautious</t>
    </r>
    <r>
      <rPr>
        <b/>
        <sz val="10"/>
        <rFont val="Helvetica"/>
      </rPr>
      <t xml:space="preserve"> forecast. Hard to believe? Yes, for us too. So please test your </t>
    </r>
    <r>
      <rPr>
        <b/>
        <i/>
        <sz val="10"/>
        <rFont val="Helvetica"/>
      </rPr>
      <t>own</t>
    </r>
    <r>
      <rPr>
        <b/>
        <sz val="10"/>
        <rFont val="Helvetica"/>
      </rPr>
      <t xml:space="preserve"> estimations in the first register tab in the footer below (about 10 good invested minutes).</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</si>
</sst>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 &quot;€&quot;"/>
    <numFmt numFmtId="165" formatCode="#,##0\ &quot;€&quot;"/>
    <numFmt numFmtId="166" formatCode="0.0%"/>
    <numFmt numFmtId="167" formatCode="&quot;€&quot;\ #,##0.00"/>
  </numFmts>
  <fonts count="64" x14ac:knownFonts="1">
    <font>
      <sz val="10"/>
      <name val="Arial"/>
    </font>
    <font>
      <sz val="8"/>
      <name val="Arial"/>
      <family val="2"/>
    </font>
    <font>
      <b/>
      <sz val="9"/>
      <color indexed="81"/>
      <name val="Tahoma"/>
      <family val="2"/>
    </font>
    <font>
      <sz val="9"/>
      <color indexed="81"/>
      <name val="Tahoma"/>
      <family val="2"/>
    </font>
    <font>
      <u/>
      <sz val="9"/>
      <color indexed="81"/>
      <name val="Tahoma"/>
      <family val="2"/>
    </font>
    <font>
      <b/>
      <u/>
      <sz val="9"/>
      <color indexed="81"/>
      <name val="Tahoma"/>
      <family val="2"/>
    </font>
    <font>
      <u/>
      <sz val="10"/>
      <color theme="10"/>
      <name val="Arial"/>
      <family val="2"/>
    </font>
    <font>
      <b/>
      <i/>
      <sz val="9"/>
      <color indexed="81"/>
      <name val="Tahoma"/>
      <family val="2"/>
    </font>
    <font>
      <i/>
      <sz val="9"/>
      <color indexed="81"/>
      <name val="Tahoma"/>
      <family val="2"/>
    </font>
    <font>
      <b/>
      <sz val="11"/>
      <color theme="0"/>
      <name val="Helvetica"/>
    </font>
    <font>
      <b/>
      <sz val="11"/>
      <color theme="0" tint="-0.34998626667073579"/>
      <name val="Helvetica"/>
    </font>
    <font>
      <sz val="11"/>
      <name val="Helvetica"/>
    </font>
    <font>
      <sz val="11"/>
      <color theme="0" tint="-0.499984740745262"/>
      <name val="Helvetica"/>
    </font>
    <font>
      <b/>
      <sz val="11"/>
      <color rgb="FFFF0000"/>
      <name val="Helvetica"/>
    </font>
    <font>
      <b/>
      <sz val="11"/>
      <name val="Helvetica"/>
    </font>
    <font>
      <sz val="11"/>
      <color theme="1"/>
      <name val="Helvetica"/>
    </font>
    <font>
      <sz val="10"/>
      <name val="Helvetica"/>
    </font>
    <font>
      <b/>
      <sz val="10"/>
      <name val="Helvetica"/>
    </font>
    <font>
      <sz val="11"/>
      <color theme="0"/>
      <name val="Helvetica"/>
    </font>
    <font>
      <b/>
      <u/>
      <sz val="11"/>
      <name val="Helvetica"/>
    </font>
    <font>
      <b/>
      <sz val="8"/>
      <name val="Helvetica"/>
    </font>
    <font>
      <sz val="8"/>
      <name val="Helvetica"/>
    </font>
    <font>
      <b/>
      <sz val="12"/>
      <name val="Helvetica"/>
    </font>
    <font>
      <sz val="8"/>
      <color theme="0" tint="-0.499984740745262"/>
      <name val="Helvetica"/>
    </font>
    <font>
      <sz val="12"/>
      <name val="Helvetica"/>
    </font>
    <font>
      <sz val="12"/>
      <color theme="0" tint="-0.499984740745262"/>
      <name val="Helvetica"/>
    </font>
    <font>
      <b/>
      <u/>
      <sz val="10"/>
      <name val="Helvetica"/>
    </font>
    <font>
      <b/>
      <sz val="7"/>
      <name val="Helvetica"/>
    </font>
    <font>
      <sz val="7"/>
      <name val="Helvetica"/>
    </font>
    <font>
      <u/>
      <sz val="10"/>
      <name val="Helvetica"/>
    </font>
    <font>
      <sz val="7"/>
      <color theme="0"/>
      <name val="Helvetica"/>
    </font>
    <font>
      <sz val="8"/>
      <color theme="0"/>
      <name val="Helvetica"/>
    </font>
    <font>
      <b/>
      <u/>
      <sz val="8"/>
      <name val="Helvetica"/>
    </font>
    <font>
      <b/>
      <sz val="7"/>
      <color theme="0"/>
      <name val="Helvetica"/>
    </font>
    <font>
      <b/>
      <sz val="8"/>
      <color theme="0"/>
      <name val="Helvetica"/>
    </font>
    <font>
      <sz val="7"/>
      <color rgb="FFFF0000"/>
      <name val="Helvetica"/>
    </font>
    <font>
      <b/>
      <sz val="7"/>
      <color rgb="FFFF0000"/>
      <name val="Helvetica"/>
    </font>
    <font>
      <sz val="7"/>
      <color theme="0" tint="-0.499984740745262"/>
      <name val="Helvetica"/>
    </font>
    <font>
      <b/>
      <sz val="7"/>
      <color rgb="FF00B050"/>
      <name val="Helvetica"/>
    </font>
    <font>
      <sz val="7"/>
      <color rgb="FF00B050"/>
      <name val="Helvetica"/>
    </font>
    <font>
      <b/>
      <sz val="7"/>
      <color rgb="FF0070C0"/>
      <name val="Helvetica"/>
    </font>
    <font>
      <sz val="7"/>
      <color theme="1"/>
      <name val="Helvetica"/>
    </font>
    <font>
      <b/>
      <u/>
      <sz val="7"/>
      <name val="Helvetica"/>
    </font>
    <font>
      <u/>
      <sz val="7"/>
      <name val="Helvetica"/>
    </font>
    <font>
      <sz val="10"/>
      <color theme="0" tint="-0.499984740745262"/>
      <name val="Helvetica"/>
    </font>
    <font>
      <b/>
      <sz val="14"/>
      <color theme="1"/>
      <name val="Helvetica"/>
    </font>
    <font>
      <b/>
      <sz val="14"/>
      <name val="Helvetica"/>
    </font>
    <font>
      <b/>
      <sz val="11"/>
      <color theme="1"/>
      <name val="Helvetica"/>
    </font>
    <font>
      <sz val="11"/>
      <color rgb="FFFF0000"/>
      <name val="Helvetica"/>
    </font>
    <font>
      <b/>
      <sz val="11"/>
      <color theme="0" tint="-0.499984740745262"/>
      <name val="Helvetica"/>
    </font>
    <font>
      <i/>
      <sz val="10"/>
      <name val="Helvetica"/>
    </font>
    <font>
      <u/>
      <sz val="10"/>
      <color theme="10"/>
      <name val="Helvetica"/>
    </font>
    <font>
      <b/>
      <sz val="12"/>
      <color theme="1"/>
      <name val="Helvetica"/>
    </font>
    <font>
      <b/>
      <u/>
      <sz val="8"/>
      <color theme="1"/>
      <name val="Helvetica"/>
    </font>
    <font>
      <b/>
      <sz val="8"/>
      <color theme="1"/>
      <name val="Helvetica"/>
    </font>
    <font>
      <b/>
      <sz val="7"/>
      <color rgb="FFE7FF6E"/>
      <name val="Helvetica"/>
    </font>
    <font>
      <b/>
      <sz val="10"/>
      <color theme="0" tint="-0.499984740745262"/>
      <name val="Helvetica"/>
    </font>
    <font>
      <b/>
      <sz val="12"/>
      <color theme="0" tint="-0.499984740745262"/>
      <name val="Helvetica"/>
    </font>
    <font>
      <b/>
      <sz val="8"/>
      <color theme="0" tint="-0.14999847407452621"/>
      <name val="Helvetica"/>
    </font>
    <font>
      <sz val="8"/>
      <color theme="0" tint="-0.14999847407452621"/>
      <name val="Helvetica"/>
    </font>
    <font>
      <b/>
      <sz val="14"/>
      <color theme="0"/>
      <name val="Helvetica"/>
    </font>
    <font>
      <b/>
      <sz val="8"/>
      <color rgb="FFE7FF6E"/>
      <name val="Helvetica"/>
    </font>
    <font>
      <b/>
      <sz val="11"/>
      <color rgb="FFE7FF6E"/>
      <name val="Helvetica"/>
    </font>
    <font>
      <b/>
      <i/>
      <sz val="10"/>
      <name val="Helvetica"/>
    </font>
  </fonts>
  <fills count="30">
    <fill>
      <patternFill patternType="none"/>
    </fill>
    <fill>
      <patternFill patternType="gray125"/>
    </fill>
    <fill>
      <patternFill patternType="solid">
        <fgColor theme="6" tint="0.39997558519241921"/>
        <bgColor indexed="64"/>
      </patternFill>
    </fill>
    <fill>
      <patternFill patternType="solid">
        <fgColor theme="1" tint="0.14999847407452621"/>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0"/>
        <bgColor indexed="64"/>
      </patternFill>
    </fill>
    <fill>
      <patternFill patternType="solid">
        <fgColor theme="9" tint="0.59999389629810485"/>
        <bgColor indexed="64"/>
      </patternFill>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rgb="FF6DC71B"/>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rgb="FFFF0000"/>
        <bgColor indexed="64"/>
      </patternFill>
    </fill>
    <fill>
      <patternFill patternType="solid">
        <fgColor theme="8" tint="0.39997558519241921"/>
        <bgColor indexed="64"/>
      </patternFill>
    </fill>
    <fill>
      <patternFill patternType="solid">
        <fgColor theme="9" tint="-0.499984740745262"/>
        <bgColor indexed="64"/>
      </patternFill>
    </fill>
    <fill>
      <patternFill patternType="solid">
        <fgColor theme="0" tint="-0.249977111117893"/>
        <bgColor indexed="64"/>
      </patternFill>
    </fill>
    <fill>
      <patternFill patternType="solid">
        <fgColor rgb="FF934BC9"/>
        <bgColor indexed="64"/>
      </patternFill>
    </fill>
    <fill>
      <patternFill patternType="solid">
        <fgColor rgb="FFC00000"/>
        <bgColor indexed="64"/>
      </patternFill>
    </fill>
    <fill>
      <patternFill patternType="solid">
        <fgColor theme="9" tint="-0.249977111117893"/>
        <bgColor indexed="64"/>
      </patternFill>
    </fill>
    <fill>
      <patternFill patternType="solid">
        <fgColor rgb="FFF7DB31"/>
        <bgColor indexed="64"/>
      </patternFill>
    </fill>
    <fill>
      <patternFill patternType="solid">
        <fgColor rgb="FFCC66FF"/>
        <bgColor indexed="64"/>
      </patternFill>
    </fill>
    <fill>
      <patternFill patternType="solid">
        <fgColor rgb="FF66FFCC"/>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rgb="FFE7FF6E"/>
        <bgColor indexed="64"/>
      </patternFill>
    </fill>
    <fill>
      <patternFill patternType="solid">
        <fgColor theme="0" tint="-4.9989318521683403E-2"/>
        <bgColor indexed="64"/>
      </patternFill>
    </fill>
    <fill>
      <patternFill patternType="solid">
        <fgColor rgb="FFF6FFC8"/>
        <bgColor indexed="64"/>
      </patternFill>
    </fill>
  </fills>
  <borders count="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thin">
        <color indexed="64"/>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right style="medium">
        <color indexed="64"/>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top style="medium">
        <color indexed="64"/>
      </top>
      <bottom/>
      <diagonal/>
    </border>
    <border>
      <left/>
      <right/>
      <top style="thin">
        <color indexed="64"/>
      </top>
      <bottom style="thin">
        <color indexed="64"/>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2">
    <xf numFmtId="0" fontId="0" fillId="0" borderId="0"/>
    <xf numFmtId="0" fontId="6" fillId="0" borderId="0" applyNumberFormat="0" applyFill="0" applyBorder="0" applyAlignment="0" applyProtection="0"/>
  </cellStyleXfs>
  <cellXfs count="763">
    <xf numFmtId="0" fontId="0" fillId="0" borderId="0" xfId="0"/>
    <xf numFmtId="0" fontId="11" fillId="0" borderId="0" xfId="0" applyFont="1"/>
    <xf numFmtId="2" fontId="11" fillId="0" borderId="0" xfId="0" applyNumberFormat="1" applyFont="1" applyFill="1"/>
    <xf numFmtId="2" fontId="11" fillId="0" borderId="0" xfId="0" applyNumberFormat="1" applyFont="1"/>
    <xf numFmtId="1" fontId="11" fillId="0" borderId="0" xfId="0" applyNumberFormat="1" applyFont="1" applyFill="1"/>
    <xf numFmtId="1" fontId="11" fillId="0" borderId="0" xfId="0" applyNumberFormat="1" applyFont="1"/>
    <xf numFmtId="0" fontId="11" fillId="0" borderId="0" xfId="0" applyFont="1" applyFill="1"/>
    <xf numFmtId="0" fontId="14" fillId="3" borderId="47" xfId="0" applyFont="1" applyFill="1" applyBorder="1" applyAlignment="1">
      <alignment vertical="center" wrapText="1"/>
    </xf>
    <xf numFmtId="0" fontId="14" fillId="3" borderId="11" xfId="0" applyFont="1" applyFill="1" applyBorder="1" applyAlignment="1">
      <alignment vertical="center" wrapText="1"/>
    </xf>
    <xf numFmtId="0" fontId="14" fillId="3" borderId="1" xfId="0" applyFont="1" applyFill="1" applyBorder="1" applyAlignment="1">
      <alignment vertical="center" wrapText="1"/>
    </xf>
    <xf numFmtId="0" fontId="11" fillId="3" borderId="1" xfId="0" applyFont="1" applyFill="1" applyBorder="1" applyAlignment="1">
      <alignment vertical="center" wrapText="1"/>
    </xf>
    <xf numFmtId="0" fontId="11" fillId="3" borderId="12" xfId="0" applyFont="1" applyFill="1" applyBorder="1" applyAlignment="1">
      <alignment vertical="center" wrapText="1"/>
    </xf>
    <xf numFmtId="0" fontId="14" fillId="3" borderId="23" xfId="0" applyFont="1" applyFill="1" applyBorder="1" applyAlignment="1">
      <alignment vertical="center" wrapText="1"/>
    </xf>
    <xf numFmtId="0" fontId="14" fillId="3" borderId="12" xfId="0" applyFont="1" applyFill="1" applyBorder="1" applyAlignment="1">
      <alignment vertical="center" wrapText="1"/>
    </xf>
    <xf numFmtId="0" fontId="14" fillId="3" borderId="24" xfId="0" applyFont="1" applyFill="1" applyBorder="1" applyAlignment="1">
      <alignment vertical="center" wrapText="1"/>
    </xf>
    <xf numFmtId="164" fontId="14" fillId="3" borderId="11" xfId="0" applyNumberFormat="1" applyFont="1" applyFill="1" applyBorder="1" applyAlignment="1">
      <alignment vertical="center" wrapText="1"/>
    </xf>
    <xf numFmtId="164" fontId="14" fillId="3" borderId="1" xfId="0" applyNumberFormat="1" applyFont="1" applyFill="1" applyBorder="1" applyAlignment="1">
      <alignment vertical="center" wrapText="1"/>
    </xf>
    <xf numFmtId="164" fontId="14" fillId="3" borderId="12" xfId="0" applyNumberFormat="1" applyFont="1" applyFill="1" applyBorder="1" applyAlignment="1">
      <alignment vertical="center" wrapText="1"/>
    </xf>
    <xf numFmtId="165" fontId="14" fillId="8" borderId="27" xfId="0" applyNumberFormat="1" applyFont="1" applyFill="1" applyBorder="1" applyAlignment="1">
      <alignment vertical="center" wrapText="1"/>
    </xf>
    <xf numFmtId="165" fontId="14" fillId="8" borderId="13" xfId="0" applyNumberFormat="1" applyFont="1" applyFill="1" applyBorder="1" applyAlignment="1">
      <alignment vertical="center" wrapText="1"/>
    </xf>
    <xf numFmtId="165" fontId="14" fillId="8" borderId="14" xfId="0" applyNumberFormat="1" applyFont="1" applyFill="1" applyBorder="1" applyAlignment="1">
      <alignment vertical="center" wrapText="1"/>
    </xf>
    <xf numFmtId="0" fontId="11" fillId="0" borderId="0" xfId="0" applyFont="1" applyFill="1" applyAlignment="1">
      <alignment vertical="center"/>
    </xf>
    <xf numFmtId="164" fontId="14" fillId="0" borderId="0" xfId="0" applyNumberFormat="1" applyFont="1" applyFill="1" applyBorder="1" applyAlignment="1">
      <alignment vertical="center" wrapText="1"/>
    </xf>
    <xf numFmtId="0" fontId="14" fillId="0" borderId="0" xfId="0" applyFont="1" applyFill="1" applyAlignment="1">
      <alignment horizontal="right" vertical="center"/>
    </xf>
    <xf numFmtId="165" fontId="14" fillId="0" borderId="0" xfId="0" applyNumberFormat="1" applyFont="1" applyFill="1" applyAlignment="1">
      <alignment horizontal="left" vertical="center"/>
    </xf>
    <xf numFmtId="0" fontId="12" fillId="0" borderId="0" xfId="0" applyFont="1" applyFill="1" applyAlignment="1">
      <alignment horizontal="left" vertical="center"/>
    </xf>
    <xf numFmtId="0" fontId="17" fillId="0" borderId="0" xfId="0" applyFont="1" applyFill="1" applyBorder="1" applyAlignment="1">
      <alignment vertical="center" wrapText="1"/>
    </xf>
    <xf numFmtId="0" fontId="14" fillId="0" borderId="0" xfId="0" applyFont="1" applyFill="1" applyAlignment="1">
      <alignment horizontal="left" vertical="center"/>
    </xf>
    <xf numFmtId="0" fontId="18" fillId="0" borderId="0" xfId="0" applyFont="1" applyFill="1" applyBorder="1" applyAlignment="1">
      <alignment vertical="center"/>
    </xf>
    <xf numFmtId="0" fontId="11" fillId="0" borderId="0" xfId="0" applyFont="1" applyFill="1" applyBorder="1" applyAlignment="1">
      <alignment vertical="center"/>
    </xf>
    <xf numFmtId="0" fontId="14" fillId="0" borderId="0" xfId="0" applyFont="1" applyFill="1" applyBorder="1" applyAlignment="1">
      <alignment vertical="center"/>
    </xf>
    <xf numFmtId="0" fontId="14" fillId="0" borderId="0" xfId="0" applyFont="1" applyFill="1" applyAlignment="1">
      <alignment vertical="center"/>
    </xf>
    <xf numFmtId="0" fontId="18" fillId="0" borderId="0" xfId="0" applyFont="1" applyFill="1" applyBorder="1" applyAlignment="1">
      <alignment vertical="center" wrapText="1"/>
    </xf>
    <xf numFmtId="0" fontId="14" fillId="0" borderId="0" xfId="0" applyFont="1" applyFill="1" applyBorder="1" applyAlignment="1">
      <alignment vertical="center" wrapText="1"/>
    </xf>
    <xf numFmtId="20" fontId="11" fillId="0" borderId="0" xfId="0" applyNumberFormat="1" applyFont="1" applyFill="1" applyAlignment="1">
      <alignment vertical="center"/>
    </xf>
    <xf numFmtId="20" fontId="11" fillId="0" borderId="0" xfId="0" applyNumberFormat="1" applyFont="1" applyAlignment="1">
      <alignment vertical="center"/>
    </xf>
    <xf numFmtId="0" fontId="14" fillId="0" borderId="0" xfId="0" applyFont="1" applyAlignment="1">
      <alignment vertical="center"/>
    </xf>
    <xf numFmtId="0" fontId="19" fillId="0" borderId="0" xfId="0" applyFont="1" applyFill="1" applyBorder="1" applyAlignment="1">
      <alignment vertical="center"/>
    </xf>
    <xf numFmtId="0" fontId="11" fillId="0" borderId="0" xfId="0" applyFont="1" applyAlignment="1">
      <alignment vertical="center"/>
    </xf>
    <xf numFmtId="2" fontId="12" fillId="0" borderId="0" xfId="0" applyNumberFormat="1" applyFont="1" applyAlignment="1">
      <alignment horizontal="center"/>
    </xf>
    <xf numFmtId="0" fontId="11" fillId="0" borderId="0" xfId="0" applyFont="1" applyAlignment="1">
      <alignment horizontal="center"/>
    </xf>
    <xf numFmtId="0" fontId="16" fillId="0" borderId="0" xfId="0" applyFont="1"/>
    <xf numFmtId="0" fontId="20" fillId="0" borderId="0" xfId="0" applyFont="1" applyAlignment="1">
      <alignment horizontal="center" vertical="center"/>
    </xf>
    <xf numFmtId="0" fontId="20" fillId="0" borderId="0" xfId="0" applyFont="1" applyAlignment="1">
      <alignment vertical="center"/>
    </xf>
    <xf numFmtId="0" fontId="21" fillId="0" borderId="0" xfId="0" applyFont="1" applyAlignment="1">
      <alignment vertical="center"/>
    </xf>
    <xf numFmtId="0" fontId="21" fillId="0" borderId="0" xfId="0" applyFont="1" applyFill="1" applyAlignment="1">
      <alignment vertical="center"/>
    </xf>
    <xf numFmtId="0" fontId="21" fillId="0" borderId="0" xfId="0" applyFont="1"/>
    <xf numFmtId="0" fontId="21" fillId="0" borderId="0" xfId="0" applyFont="1" applyAlignment="1">
      <alignment horizontal="center" vertical="center"/>
    </xf>
    <xf numFmtId="2" fontId="20" fillId="0" borderId="0" xfId="0" applyNumberFormat="1" applyFont="1" applyAlignment="1">
      <alignment horizontal="center" vertical="center"/>
    </xf>
    <xf numFmtId="0" fontId="16" fillId="0" borderId="0" xfId="0" applyFont="1" applyAlignment="1">
      <alignment vertical="center"/>
    </xf>
    <xf numFmtId="0" fontId="17" fillId="0" borderId="0" xfId="0" applyFont="1" applyAlignment="1">
      <alignment vertical="center"/>
    </xf>
    <xf numFmtId="0" fontId="24" fillId="0" borderId="0" xfId="0" applyFont="1" applyAlignment="1">
      <alignment vertical="center"/>
    </xf>
    <xf numFmtId="0" fontId="26" fillId="0" borderId="0" xfId="0" applyFont="1" applyFill="1" applyAlignment="1">
      <alignment vertical="center"/>
    </xf>
    <xf numFmtId="0" fontId="27" fillId="0" borderId="0" xfId="0" applyFont="1" applyFill="1" applyBorder="1" applyAlignment="1">
      <alignment vertical="center" wrapText="1"/>
    </xf>
    <xf numFmtId="0" fontId="28" fillId="0" borderId="0" xfId="0" applyFont="1" applyFill="1" applyAlignment="1">
      <alignment vertical="center"/>
    </xf>
    <xf numFmtId="0" fontId="28" fillId="0" borderId="0" xfId="0" applyFont="1" applyFill="1"/>
    <xf numFmtId="0" fontId="28" fillId="0" borderId="0" xfId="0" applyFont="1" applyAlignment="1">
      <alignment vertical="center"/>
    </xf>
    <xf numFmtId="0" fontId="28" fillId="0" borderId="0" xfId="0" applyFont="1"/>
    <xf numFmtId="0" fontId="28" fillId="0" borderId="0" xfId="0" applyFont="1" applyAlignment="1">
      <alignment horizontal="left" vertical="center"/>
    </xf>
    <xf numFmtId="0" fontId="25" fillId="0" borderId="0" xfId="0" applyFont="1" applyAlignment="1">
      <alignment vertical="center"/>
    </xf>
    <xf numFmtId="0" fontId="16" fillId="0" borderId="0" xfId="0" applyFont="1" applyFill="1" applyAlignment="1">
      <alignment horizontal="left" vertical="center"/>
    </xf>
    <xf numFmtId="0" fontId="29" fillId="0" borderId="0" xfId="0" applyFont="1" applyFill="1" applyAlignment="1">
      <alignment vertical="center"/>
    </xf>
    <xf numFmtId="0" fontId="16" fillId="0" borderId="0" xfId="0" applyFont="1" applyFill="1" applyAlignment="1">
      <alignment vertical="center"/>
    </xf>
    <xf numFmtId="0" fontId="16" fillId="0" borderId="0" xfId="0" applyFont="1" applyFill="1" applyBorder="1" applyAlignment="1">
      <alignment vertical="center"/>
    </xf>
    <xf numFmtId="0" fontId="30" fillId="0" borderId="0" xfId="0" applyFont="1" applyFill="1" applyBorder="1" applyAlignment="1">
      <alignment vertical="center"/>
    </xf>
    <xf numFmtId="0" fontId="28" fillId="0" borderId="0" xfId="0" applyFont="1" applyFill="1" applyBorder="1" applyAlignment="1">
      <alignment vertical="center"/>
    </xf>
    <xf numFmtId="0" fontId="27" fillId="0" borderId="0" xfId="0" applyFont="1" applyAlignment="1">
      <alignment horizontal="left"/>
    </xf>
    <xf numFmtId="0" fontId="17" fillId="0" borderId="0" xfId="0" applyFont="1" applyFill="1" applyAlignment="1">
      <alignment horizontal="left" vertical="center"/>
    </xf>
    <xf numFmtId="0" fontId="17" fillId="0" borderId="0" xfId="0" applyFont="1" applyFill="1" applyAlignment="1">
      <alignment vertical="center"/>
    </xf>
    <xf numFmtId="0" fontId="28" fillId="0" borderId="0" xfId="0" applyFont="1" applyFill="1" applyAlignment="1">
      <alignment horizontal="right" vertical="center"/>
    </xf>
    <xf numFmtId="0" fontId="28" fillId="0" borderId="0" xfId="0" applyFont="1" applyFill="1" applyAlignment="1">
      <alignment horizontal="left" vertical="center"/>
    </xf>
    <xf numFmtId="0" fontId="17" fillId="0" borderId="0" xfId="0" applyFont="1" applyFill="1" applyBorder="1" applyAlignment="1">
      <alignment vertical="center"/>
    </xf>
    <xf numFmtId="0" fontId="27" fillId="0" borderId="0" xfId="0" applyFont="1" applyFill="1" applyBorder="1" applyAlignment="1">
      <alignment vertical="center"/>
    </xf>
    <xf numFmtId="0" fontId="28" fillId="0" borderId="0" xfId="0" applyFont="1" applyFill="1" applyAlignment="1">
      <alignment horizontal="left"/>
    </xf>
    <xf numFmtId="0" fontId="28" fillId="0" borderId="0" xfId="0" applyFont="1" applyAlignment="1">
      <alignment horizontal="left"/>
    </xf>
    <xf numFmtId="0" fontId="17" fillId="0" borderId="0" xfId="0" applyFont="1"/>
    <xf numFmtId="0" fontId="16" fillId="0" borderId="0" xfId="1" applyFont="1" applyFill="1" applyAlignment="1">
      <alignment vertical="center"/>
    </xf>
    <xf numFmtId="0" fontId="16" fillId="0" borderId="0" xfId="0" applyFont="1" applyFill="1" applyBorder="1" applyAlignment="1">
      <alignment vertical="center" wrapText="1"/>
    </xf>
    <xf numFmtId="0" fontId="30" fillId="0" borderId="0" xfId="0" applyFont="1" applyFill="1" applyBorder="1" applyAlignment="1">
      <alignment vertical="center" wrapText="1"/>
    </xf>
    <xf numFmtId="3" fontId="28" fillId="0" borderId="0" xfId="0" applyNumberFormat="1" applyFont="1" applyFill="1"/>
    <xf numFmtId="0" fontId="31" fillId="0" borderId="0" xfId="0" applyFont="1" applyFill="1" applyBorder="1" applyAlignment="1">
      <alignment vertical="center"/>
    </xf>
    <xf numFmtId="0" fontId="21" fillId="0" borderId="0" xfId="0" applyFont="1" applyFill="1" applyBorder="1" applyAlignment="1">
      <alignment vertical="center"/>
    </xf>
    <xf numFmtId="0" fontId="20" fillId="0" borderId="0" xfId="0" applyFont="1" applyFill="1"/>
    <xf numFmtId="0" fontId="21" fillId="0" borderId="0" xfId="0" applyFont="1" applyFill="1"/>
    <xf numFmtId="0" fontId="32" fillId="0" borderId="0" xfId="0" applyFont="1" applyFill="1" applyBorder="1" applyAlignment="1">
      <alignment vertical="center"/>
    </xf>
    <xf numFmtId="0" fontId="20" fillId="0" borderId="0" xfId="0" applyFont="1" applyFill="1" applyBorder="1" applyAlignment="1">
      <alignment vertical="center"/>
    </xf>
    <xf numFmtId="0" fontId="20" fillId="0" borderId="0" xfId="0" applyFont="1" applyFill="1" applyAlignment="1">
      <alignment vertical="center"/>
    </xf>
    <xf numFmtId="0" fontId="16" fillId="0" borderId="0" xfId="0" applyFont="1" applyAlignment="1">
      <alignment horizontal="center"/>
    </xf>
    <xf numFmtId="0" fontId="11" fillId="0" borderId="0" xfId="0" applyNumberFormat="1" applyFont="1" applyAlignment="1">
      <alignment horizontal="center"/>
    </xf>
    <xf numFmtId="0" fontId="16" fillId="0" borderId="0" xfId="0" applyFont="1" applyFill="1"/>
    <xf numFmtId="0" fontId="34" fillId="6" borderId="8" xfId="0" applyFont="1" applyFill="1" applyBorder="1" applyAlignment="1">
      <alignment horizontal="center" vertical="center" wrapText="1"/>
    </xf>
    <xf numFmtId="0" fontId="34" fillId="6" borderId="15" xfId="0" applyFont="1" applyFill="1" applyBorder="1" applyAlignment="1">
      <alignment horizontal="center" vertical="center" wrapText="1"/>
    </xf>
    <xf numFmtId="0" fontId="34" fillId="6" borderId="37" xfId="0" applyFont="1" applyFill="1" applyBorder="1" applyAlignment="1">
      <alignment horizontal="center" vertical="center" wrapText="1"/>
    </xf>
    <xf numFmtId="0" fontId="34" fillId="6" borderId="34" xfId="0" applyFont="1" applyFill="1" applyBorder="1" applyAlignment="1">
      <alignment horizontal="center" vertical="center" wrapText="1"/>
    </xf>
    <xf numFmtId="0" fontId="34" fillId="3" borderId="38" xfId="0" applyFont="1" applyFill="1" applyBorder="1" applyAlignment="1">
      <alignment horizontal="center" vertical="center" wrapText="1"/>
    </xf>
    <xf numFmtId="0" fontId="34" fillId="3" borderId="9" xfId="0" applyFont="1" applyFill="1" applyBorder="1" applyAlignment="1">
      <alignment horizontal="center" vertical="center" wrapText="1"/>
    </xf>
    <xf numFmtId="0" fontId="34" fillId="3" borderId="8" xfId="0" applyFont="1" applyFill="1" applyBorder="1" applyAlignment="1">
      <alignment horizontal="center" vertical="center" wrapText="1"/>
    </xf>
    <xf numFmtId="0" fontId="34" fillId="3" borderId="8" xfId="0" applyFont="1" applyFill="1" applyBorder="1" applyAlignment="1">
      <alignment horizontal="center"/>
    </xf>
    <xf numFmtId="0" fontId="33" fillId="5" borderId="31" xfId="0" applyFont="1" applyFill="1" applyBorder="1" applyAlignment="1">
      <alignment horizontal="center" vertical="center" wrapText="1"/>
    </xf>
    <xf numFmtId="0" fontId="33" fillId="5" borderId="13" xfId="0" applyFont="1" applyFill="1" applyBorder="1" applyAlignment="1">
      <alignment horizontal="center" vertical="center" wrapText="1"/>
    </xf>
    <xf numFmtId="0" fontId="33" fillId="5" borderId="30" xfId="0" applyFont="1" applyFill="1" applyBorder="1" applyAlignment="1">
      <alignment horizontal="center" vertical="center" wrapText="1"/>
    </xf>
    <xf numFmtId="0" fontId="33" fillId="6" borderId="17" xfId="0" applyFont="1" applyFill="1" applyBorder="1" applyAlignment="1">
      <alignment horizontal="center" vertical="center" wrapText="1"/>
    </xf>
    <xf numFmtId="0" fontId="33" fillId="6" borderId="19" xfId="0" applyFont="1" applyFill="1" applyBorder="1" applyAlignment="1">
      <alignment horizontal="center" vertical="center" wrapText="1"/>
    </xf>
    <xf numFmtId="0" fontId="33" fillId="3" borderId="39" xfId="0" applyFont="1" applyFill="1" applyBorder="1" applyAlignment="1">
      <alignment horizontal="center" vertical="center" wrapText="1"/>
    </xf>
    <xf numFmtId="0" fontId="34" fillId="3" borderId="17" xfId="0" applyFont="1" applyFill="1" applyBorder="1" applyAlignment="1">
      <alignment horizontal="center" vertical="center" wrapText="1"/>
    </xf>
    <xf numFmtId="0" fontId="34" fillId="6" borderId="17" xfId="0" applyFont="1" applyFill="1" applyBorder="1" applyAlignment="1">
      <alignment horizontal="center" vertical="center" wrapText="1"/>
    </xf>
    <xf numFmtId="0" fontId="27" fillId="13" borderId="32" xfId="0" applyFont="1" applyFill="1" applyBorder="1" applyAlignment="1">
      <alignment wrapText="1"/>
    </xf>
    <xf numFmtId="0" fontId="27" fillId="13" borderId="33" xfId="0" applyFont="1" applyFill="1" applyBorder="1" applyAlignment="1">
      <alignment wrapText="1"/>
    </xf>
    <xf numFmtId="0" fontId="27" fillId="13" borderId="10" xfId="0" applyFont="1" applyFill="1" applyBorder="1" applyAlignment="1">
      <alignment wrapText="1"/>
    </xf>
    <xf numFmtId="0" fontId="27" fillId="13" borderId="28" xfId="0" applyFont="1" applyFill="1" applyBorder="1" applyAlignment="1">
      <alignment wrapText="1"/>
    </xf>
    <xf numFmtId="0" fontId="28" fillId="13" borderId="28" xfId="0" applyFont="1" applyFill="1" applyBorder="1" applyAlignment="1">
      <alignment wrapText="1"/>
    </xf>
    <xf numFmtId="0" fontId="27" fillId="13" borderId="6" xfId="0" applyFont="1" applyFill="1" applyBorder="1" applyAlignment="1">
      <alignment wrapText="1"/>
    </xf>
    <xf numFmtId="0" fontId="27" fillId="13" borderId="44" xfId="0" applyFont="1" applyFill="1" applyBorder="1" applyAlignment="1">
      <alignment wrapText="1"/>
    </xf>
    <xf numFmtId="0" fontId="27" fillId="13" borderId="45" xfId="0" applyFont="1" applyFill="1" applyBorder="1" applyAlignment="1">
      <alignment wrapText="1"/>
    </xf>
    <xf numFmtId="0" fontId="27" fillId="3" borderId="46" xfId="0" applyFont="1" applyFill="1" applyBorder="1" applyAlignment="1">
      <alignment wrapText="1"/>
    </xf>
    <xf numFmtId="0" fontId="27" fillId="5" borderId="45" xfId="0" applyFont="1" applyFill="1" applyBorder="1" applyAlignment="1">
      <alignment wrapText="1"/>
    </xf>
    <xf numFmtId="0" fontId="28" fillId="0" borderId="0" xfId="0" applyFont="1" applyAlignment="1"/>
    <xf numFmtId="166" fontId="28" fillId="13" borderId="11" xfId="0" applyNumberFormat="1" applyFont="1" applyFill="1" applyBorder="1" applyAlignment="1">
      <alignment horizontal="right" vertical="center" wrapText="1"/>
    </xf>
    <xf numFmtId="165" fontId="28" fillId="13" borderId="29" xfId="0" applyNumberFormat="1" applyFont="1" applyFill="1" applyBorder="1" applyAlignment="1">
      <alignment horizontal="right" vertical="center" wrapText="1"/>
    </xf>
    <xf numFmtId="3" fontId="28" fillId="13" borderId="1" xfId="0" applyNumberFormat="1" applyFont="1" applyFill="1" applyBorder="1" applyAlignment="1">
      <alignment vertical="center" wrapText="1"/>
    </xf>
    <xf numFmtId="3" fontId="28" fillId="13" borderId="29" xfId="0" applyNumberFormat="1" applyFont="1" applyFill="1" applyBorder="1" applyAlignment="1">
      <alignment vertical="center" wrapText="1"/>
    </xf>
    <xf numFmtId="3" fontId="28" fillId="13" borderId="11" xfId="0" applyNumberFormat="1" applyFont="1" applyFill="1" applyBorder="1" applyAlignment="1">
      <alignment vertical="center" wrapText="1"/>
    </xf>
    <xf numFmtId="3" fontId="28" fillId="13" borderId="12" xfId="0" applyNumberFormat="1" applyFont="1" applyFill="1" applyBorder="1" applyAlignment="1">
      <alignment vertical="center" wrapText="1"/>
    </xf>
    <xf numFmtId="3" fontId="28" fillId="3" borderId="41" xfId="0" applyNumberFormat="1" applyFont="1" applyFill="1" applyBorder="1" applyAlignment="1">
      <alignment vertical="center" wrapText="1"/>
    </xf>
    <xf numFmtId="3" fontId="28" fillId="5" borderId="12" xfId="0" applyNumberFormat="1" applyFont="1" applyFill="1" applyBorder="1" applyAlignment="1">
      <alignment vertical="center" wrapText="1"/>
    </xf>
    <xf numFmtId="0" fontId="28" fillId="13" borderId="11" xfId="0" applyFont="1" applyFill="1" applyBorder="1" applyAlignment="1">
      <alignment vertical="center" wrapText="1"/>
    </xf>
    <xf numFmtId="166" fontId="28" fillId="13" borderId="29" xfId="0" applyNumberFormat="1" applyFont="1" applyFill="1" applyBorder="1" applyAlignment="1">
      <alignment vertical="center" wrapText="1"/>
    </xf>
    <xf numFmtId="3" fontId="28" fillId="7" borderId="11" xfId="0" applyNumberFormat="1" applyFont="1" applyFill="1" applyBorder="1" applyAlignment="1">
      <alignment vertical="center" wrapText="1"/>
    </xf>
    <xf numFmtId="3" fontId="28" fillId="7" borderId="1" xfId="0" applyNumberFormat="1" applyFont="1" applyFill="1" applyBorder="1" applyAlignment="1">
      <alignment vertical="center" wrapText="1"/>
    </xf>
    <xf numFmtId="3" fontId="28" fillId="0" borderId="11" xfId="0" applyNumberFormat="1" applyFont="1" applyFill="1" applyBorder="1" applyAlignment="1">
      <alignment vertical="center" wrapText="1"/>
    </xf>
    <xf numFmtId="3" fontId="28" fillId="13" borderId="49" xfId="0" applyNumberFormat="1" applyFont="1" applyFill="1" applyBorder="1" applyAlignment="1">
      <alignment vertical="center" wrapText="1"/>
    </xf>
    <xf numFmtId="3" fontId="28" fillId="13" borderId="50" xfId="0" applyNumberFormat="1" applyFont="1" applyFill="1" applyBorder="1" applyAlignment="1">
      <alignment vertical="center" wrapText="1"/>
    </xf>
    <xf numFmtId="3" fontId="28" fillId="0" borderId="49" xfId="0" applyNumberFormat="1" applyFont="1" applyFill="1" applyBorder="1" applyAlignment="1">
      <alignment vertical="center" wrapText="1"/>
    </xf>
    <xf numFmtId="3" fontId="38" fillId="5" borderId="51" xfId="0" applyNumberFormat="1" applyFont="1" applyFill="1" applyBorder="1" applyAlignment="1">
      <alignment vertical="center" wrapText="1"/>
    </xf>
    <xf numFmtId="3" fontId="28" fillId="0" borderId="0" xfId="0" applyNumberFormat="1" applyFont="1"/>
    <xf numFmtId="166" fontId="28" fillId="13" borderId="44" xfId="0" applyNumberFormat="1" applyFont="1" applyFill="1" applyBorder="1" applyAlignment="1">
      <alignment vertical="center" wrapText="1"/>
    </xf>
    <xf numFmtId="166" fontId="28" fillId="13" borderId="6" xfId="0" applyNumberFormat="1" applyFont="1" applyFill="1" applyBorder="1" applyAlignment="1">
      <alignment vertical="center" wrapText="1"/>
    </xf>
    <xf numFmtId="166" fontId="28" fillId="7" borderId="44" xfId="0" applyNumberFormat="1" applyFont="1" applyFill="1" applyBorder="1" applyAlignment="1">
      <alignment vertical="center" wrapText="1"/>
    </xf>
    <xf numFmtId="166" fontId="28" fillId="7" borderId="28" xfId="0" applyNumberFormat="1" applyFont="1" applyFill="1" applyBorder="1" applyAlignment="1">
      <alignment vertical="center" wrapText="1"/>
    </xf>
    <xf numFmtId="166" fontId="28" fillId="13" borderId="28" xfId="0" applyNumberFormat="1" applyFont="1" applyFill="1" applyBorder="1" applyAlignment="1">
      <alignment vertical="center" wrapText="1"/>
    </xf>
    <xf numFmtId="166" fontId="28" fillId="13" borderId="45" xfId="0" applyNumberFormat="1" applyFont="1" applyFill="1" applyBorder="1" applyAlignment="1">
      <alignment vertical="center" wrapText="1"/>
    </xf>
    <xf numFmtId="166" fontId="28" fillId="13" borderId="7" xfId="0" applyNumberFormat="1" applyFont="1" applyFill="1" applyBorder="1" applyAlignment="1">
      <alignment vertical="center" wrapText="1"/>
    </xf>
    <xf numFmtId="166" fontId="28" fillId="3" borderId="63" xfId="0" applyNumberFormat="1" applyFont="1" applyFill="1" applyBorder="1" applyAlignment="1">
      <alignment vertical="center" wrapText="1"/>
    </xf>
    <xf numFmtId="166" fontId="28" fillId="5" borderId="45" xfId="0" applyNumberFormat="1" applyFont="1" applyFill="1" applyBorder="1" applyAlignment="1">
      <alignment vertical="center" wrapText="1"/>
    </xf>
    <xf numFmtId="2" fontId="28" fillId="0" borderId="0" xfId="0" applyNumberFormat="1" applyFont="1"/>
    <xf numFmtId="166" fontId="28" fillId="13" borderId="11" xfId="0" applyNumberFormat="1" applyFont="1" applyFill="1" applyBorder="1" applyAlignment="1">
      <alignment vertical="center" wrapText="1"/>
    </xf>
    <xf numFmtId="166" fontId="28" fillId="7" borderId="11" xfId="0" applyNumberFormat="1" applyFont="1" applyFill="1" applyBorder="1" applyAlignment="1">
      <alignment vertical="center" wrapText="1"/>
    </xf>
    <xf numFmtId="166" fontId="28" fillId="7" borderId="1" xfId="0" applyNumberFormat="1" applyFont="1" applyFill="1" applyBorder="1" applyAlignment="1">
      <alignment vertical="center" wrapText="1"/>
    </xf>
    <xf numFmtId="166" fontId="28" fillId="13" borderId="1" xfId="0" applyNumberFormat="1" applyFont="1" applyFill="1" applyBorder="1" applyAlignment="1">
      <alignment vertical="center" wrapText="1"/>
    </xf>
    <xf numFmtId="166" fontId="28" fillId="13" borderId="12" xfId="0" applyNumberFormat="1" applyFont="1" applyFill="1" applyBorder="1" applyAlignment="1">
      <alignment vertical="center" wrapText="1"/>
    </xf>
    <xf numFmtId="166" fontId="28" fillId="13" borderId="26" xfId="0" applyNumberFormat="1" applyFont="1" applyFill="1" applyBorder="1" applyAlignment="1">
      <alignment vertical="center" wrapText="1"/>
    </xf>
    <xf numFmtId="166" fontId="28" fillId="3" borderId="55" xfId="0" applyNumberFormat="1" applyFont="1" applyFill="1" applyBorder="1" applyAlignment="1">
      <alignment vertical="center" wrapText="1"/>
    </xf>
    <xf numFmtId="166" fontId="28" fillId="5" borderId="12" xfId="0" applyNumberFormat="1" applyFont="1" applyFill="1" applyBorder="1" applyAlignment="1">
      <alignment vertical="center" wrapText="1"/>
    </xf>
    <xf numFmtId="2" fontId="28" fillId="0" borderId="0" xfId="0" applyNumberFormat="1" applyFont="1" applyFill="1"/>
    <xf numFmtId="166" fontId="28" fillId="13" borderId="27" xfId="0" applyNumberFormat="1" applyFont="1" applyFill="1" applyBorder="1" applyAlignment="1">
      <alignment vertical="center" wrapText="1"/>
    </xf>
    <xf numFmtId="166" fontId="28" fillId="13" borderId="30" xfId="0" applyNumberFormat="1" applyFont="1" applyFill="1" applyBorder="1" applyAlignment="1">
      <alignment vertical="center" wrapText="1"/>
    </xf>
    <xf numFmtId="166" fontId="28" fillId="7" borderId="27" xfId="0" applyNumberFormat="1" applyFont="1" applyFill="1" applyBorder="1" applyAlignment="1">
      <alignment vertical="center" wrapText="1"/>
    </xf>
    <xf numFmtId="166" fontId="28" fillId="7" borderId="13" xfId="0" applyNumberFormat="1" applyFont="1" applyFill="1" applyBorder="1" applyAlignment="1">
      <alignment vertical="center" wrapText="1"/>
    </xf>
    <xf numFmtId="166" fontId="28" fillId="13" borderId="13" xfId="0" applyNumberFormat="1" applyFont="1" applyFill="1" applyBorder="1" applyAlignment="1">
      <alignment vertical="center" wrapText="1"/>
    </xf>
    <xf numFmtId="166" fontId="28" fillId="13" borderId="14" xfId="0" applyNumberFormat="1" applyFont="1" applyFill="1" applyBorder="1" applyAlignment="1">
      <alignment vertical="center" wrapText="1"/>
    </xf>
    <xf numFmtId="166" fontId="28" fillId="13" borderId="31" xfId="0" applyNumberFormat="1" applyFont="1" applyFill="1" applyBorder="1" applyAlignment="1">
      <alignment vertical="center" wrapText="1"/>
    </xf>
    <xf numFmtId="166" fontId="28" fillId="3" borderId="64" xfId="0" applyNumberFormat="1" applyFont="1" applyFill="1" applyBorder="1" applyAlignment="1">
      <alignment vertical="center" wrapText="1"/>
    </xf>
    <xf numFmtId="166" fontId="28" fillId="5" borderId="14" xfId="0" applyNumberFormat="1" applyFont="1" applyFill="1" applyBorder="1" applyAlignment="1">
      <alignment vertical="center" wrapText="1"/>
    </xf>
    <xf numFmtId="3" fontId="28" fillId="13" borderId="32" xfId="0" applyNumberFormat="1" applyFont="1" applyFill="1" applyBorder="1" applyAlignment="1">
      <alignment vertical="center" wrapText="1"/>
    </xf>
    <xf numFmtId="3" fontId="28" fillId="13" borderId="33" xfId="0" applyNumberFormat="1" applyFont="1" applyFill="1" applyBorder="1" applyAlignment="1">
      <alignment vertical="center" wrapText="1"/>
    </xf>
    <xf numFmtId="3" fontId="28" fillId="0" borderId="32" xfId="0" applyNumberFormat="1" applyFont="1" applyFill="1" applyBorder="1" applyAlignment="1">
      <alignment vertical="center" wrapText="1"/>
    </xf>
    <xf numFmtId="166" fontId="39" fillId="5" borderId="10" xfId="0" applyNumberFormat="1" applyFont="1" applyFill="1" applyBorder="1" applyAlignment="1">
      <alignment vertical="center" wrapText="1"/>
    </xf>
    <xf numFmtId="166" fontId="36" fillId="13" borderId="11" xfId="0" applyNumberFormat="1" applyFont="1" applyFill="1" applyBorder="1" applyAlignment="1">
      <alignment vertical="center" wrapText="1"/>
    </xf>
    <xf numFmtId="166" fontId="35" fillId="5" borderId="12" xfId="0" applyNumberFormat="1" applyFont="1" applyFill="1" applyBorder="1" applyAlignment="1">
      <alignment vertical="center" wrapText="1"/>
    </xf>
    <xf numFmtId="1" fontId="28" fillId="13" borderId="11" xfId="0" applyNumberFormat="1" applyFont="1" applyFill="1" applyBorder="1" applyAlignment="1">
      <alignment vertical="center" wrapText="1"/>
    </xf>
    <xf numFmtId="1" fontId="28" fillId="13" borderId="29" xfId="0" applyNumberFormat="1" applyFont="1" applyFill="1" applyBorder="1" applyAlignment="1">
      <alignment vertical="center" wrapText="1"/>
    </xf>
    <xf numFmtId="1" fontId="27" fillId="13" borderId="11" xfId="0" applyNumberFormat="1" applyFont="1" applyFill="1" applyBorder="1" applyAlignment="1">
      <alignment vertical="center" wrapText="1"/>
    </xf>
    <xf numFmtId="1" fontId="27" fillId="13" borderId="12" xfId="0" applyNumberFormat="1" applyFont="1" applyFill="1" applyBorder="1" applyAlignment="1">
      <alignment vertical="center" wrapText="1"/>
    </xf>
    <xf numFmtId="9" fontId="28" fillId="3" borderId="41" xfId="0" applyNumberFormat="1" applyFont="1" applyFill="1" applyBorder="1" applyAlignment="1">
      <alignment vertical="center" wrapText="1"/>
    </xf>
    <xf numFmtId="1" fontId="28" fillId="0" borderId="0" xfId="0" applyNumberFormat="1" applyFont="1" applyFill="1"/>
    <xf numFmtId="1" fontId="28" fillId="0" borderId="0" xfId="0" applyNumberFormat="1" applyFont="1"/>
    <xf numFmtId="1" fontId="28" fillId="5" borderId="11" xfId="0" applyNumberFormat="1" applyFont="1" applyFill="1" applyBorder="1" applyAlignment="1">
      <alignment vertical="center" wrapText="1"/>
    </xf>
    <xf numFmtId="1" fontId="28" fillId="5" borderId="29" xfId="0" applyNumberFormat="1" applyFont="1" applyFill="1" applyBorder="1" applyAlignment="1">
      <alignment vertical="center" wrapText="1"/>
    </xf>
    <xf numFmtId="1" fontId="27" fillId="5" borderId="11" xfId="0" applyNumberFormat="1" applyFont="1" applyFill="1" applyBorder="1" applyAlignment="1">
      <alignment vertical="center" wrapText="1"/>
    </xf>
    <xf numFmtId="1" fontId="27" fillId="5" borderId="12" xfId="0" applyNumberFormat="1" applyFont="1" applyFill="1" applyBorder="1" applyAlignment="1">
      <alignment vertical="center" wrapText="1"/>
    </xf>
    <xf numFmtId="3" fontId="27" fillId="5" borderId="1" xfId="0" applyNumberFormat="1" applyFont="1" applyFill="1" applyBorder="1" applyAlignment="1">
      <alignment vertical="center" wrapText="1"/>
    </xf>
    <xf numFmtId="3" fontId="27" fillId="5" borderId="29" xfId="0" applyNumberFormat="1" applyFont="1" applyFill="1" applyBorder="1" applyAlignment="1">
      <alignment vertical="center" wrapText="1"/>
    </xf>
    <xf numFmtId="3" fontId="27" fillId="5" borderId="11" xfId="0" applyNumberFormat="1" applyFont="1" applyFill="1" applyBorder="1" applyAlignment="1">
      <alignment vertical="center" wrapText="1"/>
    </xf>
    <xf numFmtId="3" fontId="27" fillId="5" borderId="12" xfId="0" applyNumberFormat="1" applyFont="1" applyFill="1" applyBorder="1" applyAlignment="1">
      <alignment vertical="center" wrapText="1"/>
    </xf>
    <xf numFmtId="3" fontId="27" fillId="3" borderId="41" xfId="0" applyNumberFormat="1" applyFont="1" applyFill="1" applyBorder="1" applyAlignment="1">
      <alignment vertical="center" wrapText="1"/>
    </xf>
    <xf numFmtId="0" fontId="28" fillId="5" borderId="11" xfId="0" applyFont="1" applyFill="1" applyBorder="1" applyAlignment="1">
      <alignment vertical="center" wrapText="1"/>
    </xf>
    <xf numFmtId="0" fontId="28" fillId="5" borderId="29" xfId="0" applyFont="1" applyFill="1" applyBorder="1" applyAlignment="1">
      <alignment vertical="center" wrapText="1"/>
    </xf>
    <xf numFmtId="0" fontId="27" fillId="5" borderId="11" xfId="0" applyFont="1" applyFill="1" applyBorder="1" applyAlignment="1">
      <alignment vertical="center" wrapText="1"/>
    </xf>
    <xf numFmtId="0" fontId="27" fillId="5" borderId="12" xfId="0" applyFont="1" applyFill="1" applyBorder="1" applyAlignment="1">
      <alignment vertical="center" wrapText="1"/>
    </xf>
    <xf numFmtId="0" fontId="27" fillId="3" borderId="23" xfId="0" applyFont="1" applyFill="1" applyBorder="1" applyAlignment="1">
      <alignment vertical="center" wrapText="1"/>
    </xf>
    <xf numFmtId="0" fontId="28" fillId="3" borderId="11" xfId="0" applyFont="1" applyFill="1" applyBorder="1" applyAlignment="1">
      <alignment vertical="center" wrapText="1"/>
    </xf>
    <xf numFmtId="0" fontId="28" fillId="3" borderId="29" xfId="0" applyFont="1" applyFill="1" applyBorder="1" applyAlignment="1">
      <alignment vertical="center" wrapText="1"/>
    </xf>
    <xf numFmtId="0" fontId="27" fillId="3" borderId="11" xfId="0" applyFont="1" applyFill="1" applyBorder="1" applyAlignment="1">
      <alignment vertical="center" wrapText="1"/>
    </xf>
    <xf numFmtId="0" fontId="27" fillId="3" borderId="12" xfId="0" applyFont="1" applyFill="1" applyBorder="1" applyAlignment="1">
      <alignment vertical="center" wrapText="1"/>
    </xf>
    <xf numFmtId="0" fontId="28" fillId="3" borderId="26" xfId="0" applyFont="1" applyFill="1" applyBorder="1" applyAlignment="1">
      <alignment vertical="center" wrapText="1"/>
    </xf>
    <xf numFmtId="0" fontId="28" fillId="3" borderId="1" xfId="0" applyFont="1" applyFill="1" applyBorder="1" applyAlignment="1">
      <alignment vertical="center" wrapText="1"/>
    </xf>
    <xf numFmtId="0" fontId="27" fillId="3" borderId="1" xfId="0" applyFont="1" applyFill="1" applyBorder="1" applyAlignment="1">
      <alignment vertical="center" wrapText="1"/>
    </xf>
    <xf numFmtId="0" fontId="27" fillId="3" borderId="29" xfId="0" applyFont="1" applyFill="1" applyBorder="1" applyAlignment="1">
      <alignment vertical="center" wrapText="1"/>
    </xf>
    <xf numFmtId="0" fontId="28" fillId="3" borderId="12" xfId="0" applyFont="1" applyFill="1" applyBorder="1" applyAlignment="1">
      <alignment vertical="center" wrapText="1"/>
    </xf>
    <xf numFmtId="0" fontId="28" fillId="3" borderId="41" xfId="0" applyFont="1" applyFill="1" applyBorder="1" applyAlignment="1">
      <alignment vertical="center" wrapText="1"/>
    </xf>
    <xf numFmtId="0" fontId="27" fillId="3" borderId="1" xfId="0" applyFont="1" applyFill="1" applyBorder="1" applyAlignment="1">
      <alignment horizontal="center" vertical="center" wrapText="1"/>
    </xf>
    <xf numFmtId="0" fontId="27" fillId="3" borderId="12" xfId="0" applyFont="1" applyFill="1" applyBorder="1" applyAlignment="1">
      <alignment horizontal="center" vertical="center" wrapText="1"/>
    </xf>
    <xf numFmtId="0" fontId="28" fillId="13" borderId="29" xfId="0" applyFont="1" applyFill="1" applyBorder="1" applyAlignment="1">
      <alignment vertical="center" wrapText="1"/>
    </xf>
    <xf numFmtId="0" fontId="27" fillId="13" borderId="11" xfId="0" applyFont="1" applyFill="1" applyBorder="1" applyAlignment="1">
      <alignment vertical="center" wrapText="1"/>
    </xf>
    <xf numFmtId="0" fontId="27" fillId="13" borderId="12" xfId="0" applyFont="1" applyFill="1" applyBorder="1" applyAlignment="1">
      <alignment vertical="center" wrapText="1"/>
    </xf>
    <xf numFmtId="164" fontId="27" fillId="13" borderId="1" xfId="0" applyNumberFormat="1" applyFont="1" applyFill="1" applyBorder="1" applyAlignment="1">
      <alignment vertical="center" wrapText="1"/>
    </xf>
    <xf numFmtId="164" fontId="27" fillId="13" borderId="29" xfId="0" applyNumberFormat="1" applyFont="1" applyFill="1" applyBorder="1" applyAlignment="1">
      <alignment vertical="center" wrapText="1"/>
    </xf>
    <xf numFmtId="164" fontId="27" fillId="13" borderId="11" xfId="0" applyNumberFormat="1" applyFont="1" applyFill="1" applyBorder="1" applyAlignment="1">
      <alignment vertical="center" wrapText="1"/>
    </xf>
    <xf numFmtId="164" fontId="27" fillId="13" borderId="12" xfId="0" applyNumberFormat="1" applyFont="1" applyFill="1" applyBorder="1" applyAlignment="1">
      <alignment vertical="center" wrapText="1"/>
    </xf>
    <xf numFmtId="164" fontId="27" fillId="3" borderId="41" xfId="0" applyNumberFormat="1" applyFont="1" applyFill="1" applyBorder="1" applyAlignment="1">
      <alignment vertical="center" wrapText="1"/>
    </xf>
    <xf numFmtId="165" fontId="27" fillId="13" borderId="1" xfId="0" applyNumberFormat="1" applyFont="1" applyFill="1" applyBorder="1" applyAlignment="1">
      <alignment vertical="center" wrapText="1"/>
    </xf>
    <xf numFmtId="165" fontId="27" fillId="5" borderId="1" xfId="0" applyNumberFormat="1" applyFont="1" applyFill="1" applyBorder="1" applyAlignment="1">
      <alignment vertical="center" wrapText="1"/>
    </xf>
    <xf numFmtId="165" fontId="27" fillId="5" borderId="12" xfId="0" applyNumberFormat="1" applyFont="1" applyFill="1" applyBorder="1" applyAlignment="1">
      <alignment vertical="center" wrapText="1"/>
    </xf>
    <xf numFmtId="164" fontId="28" fillId="13" borderId="11" xfId="0" applyNumberFormat="1" applyFont="1" applyFill="1" applyBorder="1" applyAlignment="1">
      <alignment vertical="center" wrapText="1"/>
    </xf>
    <xf numFmtId="164" fontId="28" fillId="13" borderId="29" xfId="0" applyNumberFormat="1" applyFont="1" applyFill="1" applyBorder="1" applyAlignment="1">
      <alignment vertical="center" wrapText="1"/>
    </xf>
    <xf numFmtId="164" fontId="28" fillId="7" borderId="26" xfId="0" applyNumberFormat="1" applyFont="1" applyFill="1" applyBorder="1" applyAlignment="1">
      <alignment vertical="center" wrapText="1"/>
    </xf>
    <xf numFmtId="164" fontId="28" fillId="7" borderId="1" xfId="0" applyNumberFormat="1" applyFont="1" applyFill="1" applyBorder="1" applyAlignment="1">
      <alignment vertical="center" wrapText="1"/>
    </xf>
    <xf numFmtId="165" fontId="28" fillId="13" borderId="1" xfId="0" applyNumberFormat="1" applyFont="1" applyFill="1" applyBorder="1" applyAlignment="1">
      <alignment vertical="center" wrapText="1"/>
    </xf>
    <xf numFmtId="165" fontId="28" fillId="13" borderId="29" xfId="0" applyNumberFormat="1" applyFont="1" applyFill="1" applyBorder="1" applyAlignment="1">
      <alignment vertical="center" wrapText="1"/>
    </xf>
    <xf numFmtId="164" fontId="28" fillId="13" borderId="1" xfId="0" applyNumberFormat="1" applyFont="1" applyFill="1" applyBorder="1" applyAlignment="1">
      <alignment vertical="center" wrapText="1"/>
    </xf>
    <xf numFmtId="164" fontId="28" fillId="13" borderId="12" xfId="0" applyNumberFormat="1" applyFont="1" applyFill="1" applyBorder="1" applyAlignment="1">
      <alignment vertical="center" wrapText="1"/>
    </xf>
    <xf numFmtId="165" fontId="28" fillId="3" borderId="41" xfId="0" applyNumberFormat="1" applyFont="1" applyFill="1" applyBorder="1" applyAlignment="1">
      <alignment vertical="center" wrapText="1"/>
    </xf>
    <xf numFmtId="165" fontId="28" fillId="5" borderId="12" xfId="0" applyNumberFormat="1" applyFont="1" applyFill="1" applyBorder="1" applyAlignment="1">
      <alignment vertical="center" wrapText="1"/>
    </xf>
    <xf numFmtId="164" fontId="28" fillId="0" borderId="1" xfId="0" applyNumberFormat="1" applyFont="1" applyFill="1" applyBorder="1" applyAlignment="1">
      <alignment vertical="center" wrapText="1"/>
    </xf>
    <xf numFmtId="164" fontId="28" fillId="0" borderId="11" xfId="0" applyNumberFormat="1" applyFont="1" applyFill="1" applyBorder="1" applyAlignment="1">
      <alignment vertical="center" wrapText="1"/>
    </xf>
    <xf numFmtId="164" fontId="28" fillId="0" borderId="12" xfId="0" applyNumberFormat="1" applyFont="1" applyFill="1" applyBorder="1" applyAlignment="1">
      <alignment vertical="center" wrapText="1"/>
    </xf>
    <xf numFmtId="165" fontId="28" fillId="7" borderId="26" xfId="0" applyNumberFormat="1" applyFont="1" applyFill="1" applyBorder="1" applyAlignment="1">
      <alignment vertical="center" wrapText="1"/>
    </xf>
    <xf numFmtId="165" fontId="28" fillId="7" borderId="1" xfId="0" applyNumberFormat="1" applyFont="1" applyFill="1" applyBorder="1" applyAlignment="1">
      <alignment vertical="center" wrapText="1"/>
    </xf>
    <xf numFmtId="165" fontId="28" fillId="0" borderId="11" xfId="0" applyNumberFormat="1" applyFont="1" applyFill="1" applyBorder="1" applyAlignment="1">
      <alignment vertical="center" wrapText="1"/>
    </xf>
    <xf numFmtId="165" fontId="28" fillId="0" borderId="12" xfId="0" applyNumberFormat="1" applyFont="1" applyFill="1" applyBorder="1" applyAlignment="1">
      <alignment vertical="center" wrapText="1"/>
    </xf>
    <xf numFmtId="165" fontId="27" fillId="5" borderId="29" xfId="0" applyNumberFormat="1" applyFont="1" applyFill="1" applyBorder="1" applyAlignment="1">
      <alignment vertical="center" wrapText="1"/>
    </xf>
    <xf numFmtId="165" fontId="27" fillId="5" borderId="11" xfId="0" applyNumberFormat="1" applyFont="1" applyFill="1" applyBorder="1" applyAlignment="1">
      <alignment vertical="center" wrapText="1"/>
    </xf>
    <xf numFmtId="165" fontId="27" fillId="3" borderId="41" xfId="0" applyNumberFormat="1" applyFont="1" applyFill="1" applyBorder="1" applyAlignment="1">
      <alignment vertical="center" wrapText="1"/>
    </xf>
    <xf numFmtId="165" fontId="27" fillId="5" borderId="26" xfId="0" applyNumberFormat="1" applyFont="1" applyFill="1" applyBorder="1" applyAlignment="1">
      <alignment vertical="center" wrapText="1"/>
    </xf>
    <xf numFmtId="0" fontId="27" fillId="3" borderId="26" xfId="0" applyFont="1" applyFill="1" applyBorder="1" applyAlignment="1">
      <alignment vertical="center" wrapText="1"/>
    </xf>
    <xf numFmtId="0" fontId="27" fillId="3" borderId="41" xfId="0" applyFont="1" applyFill="1" applyBorder="1" applyAlignment="1">
      <alignment vertical="center" wrapText="1"/>
    </xf>
    <xf numFmtId="165" fontId="27" fillId="13" borderId="29" xfId="0" applyNumberFormat="1" applyFont="1" applyFill="1" applyBorder="1" applyAlignment="1">
      <alignment vertical="center" wrapText="1"/>
    </xf>
    <xf numFmtId="165" fontId="27" fillId="13" borderId="11" xfId="0" applyNumberFormat="1" applyFont="1" applyFill="1" applyBorder="1" applyAlignment="1">
      <alignment vertical="center" wrapText="1"/>
    </xf>
    <xf numFmtId="165" fontId="27" fillId="13" borderId="12" xfId="0" applyNumberFormat="1" applyFont="1" applyFill="1" applyBorder="1" applyAlignment="1">
      <alignment vertical="center" wrapText="1"/>
    </xf>
    <xf numFmtId="165" fontId="28" fillId="13" borderId="11" xfId="0" applyNumberFormat="1" applyFont="1" applyFill="1" applyBorder="1" applyAlignment="1">
      <alignment vertical="center" wrapText="1"/>
    </xf>
    <xf numFmtId="165" fontId="28" fillId="7" borderId="11" xfId="0" applyNumberFormat="1" applyFont="1" applyFill="1" applyBorder="1" applyAlignment="1">
      <alignment vertical="center" wrapText="1"/>
    </xf>
    <xf numFmtId="166" fontId="28" fillId="7" borderId="12" xfId="0" applyNumberFormat="1" applyFont="1" applyFill="1" applyBorder="1" applyAlignment="1">
      <alignment vertical="center" wrapText="1"/>
    </xf>
    <xf numFmtId="165" fontId="28" fillId="13" borderId="12" xfId="0" applyNumberFormat="1" applyFont="1" applyFill="1" applyBorder="1" applyAlignment="1">
      <alignment vertical="center" wrapText="1"/>
    </xf>
    <xf numFmtId="165" fontId="28" fillId="7" borderId="12" xfId="0" applyNumberFormat="1" applyFont="1" applyFill="1" applyBorder="1" applyAlignment="1">
      <alignment vertical="center" wrapText="1"/>
    </xf>
    <xf numFmtId="164" fontId="28" fillId="7" borderId="12" xfId="0" applyNumberFormat="1" applyFont="1" applyFill="1" applyBorder="1" applyAlignment="1">
      <alignment vertical="center" wrapText="1"/>
    </xf>
    <xf numFmtId="164" fontId="41" fillId="13" borderId="11" xfId="0" applyNumberFormat="1" applyFont="1" applyFill="1" applyBorder="1" applyAlignment="1">
      <alignment vertical="center" wrapText="1"/>
    </xf>
    <xf numFmtId="164" fontId="41" fillId="13" borderId="29" xfId="0" applyNumberFormat="1" applyFont="1" applyFill="1" applyBorder="1" applyAlignment="1">
      <alignment vertical="center" wrapText="1"/>
    </xf>
    <xf numFmtId="164" fontId="28" fillId="3" borderId="41" xfId="0" applyNumberFormat="1" applyFont="1" applyFill="1" applyBorder="1" applyAlignment="1">
      <alignment vertical="center" wrapText="1"/>
    </xf>
    <xf numFmtId="164" fontId="28" fillId="5" borderId="12" xfId="0" applyNumberFormat="1" applyFont="1" applyFill="1" applyBorder="1" applyAlignment="1">
      <alignment vertical="center" wrapText="1"/>
    </xf>
    <xf numFmtId="164" fontId="27" fillId="5" borderId="11" xfId="0" applyNumberFormat="1" applyFont="1" applyFill="1" applyBorder="1" applyAlignment="1">
      <alignment vertical="center" wrapText="1"/>
    </xf>
    <xf numFmtId="164" fontId="27" fillId="5" borderId="29" xfId="0" applyNumberFormat="1" applyFont="1" applyFill="1" applyBorder="1" applyAlignment="1">
      <alignment vertical="center" wrapText="1"/>
    </xf>
    <xf numFmtId="164" fontId="27" fillId="5" borderId="12" xfId="0" applyNumberFormat="1" applyFont="1" applyFill="1" applyBorder="1" applyAlignment="1">
      <alignment vertical="center" wrapText="1"/>
    </xf>
    <xf numFmtId="0" fontId="27" fillId="3" borderId="24" xfId="0" applyFont="1" applyFill="1" applyBorder="1" applyAlignment="1">
      <alignment vertical="center" wrapText="1"/>
    </xf>
    <xf numFmtId="164" fontId="27" fillId="3" borderId="26" xfId="0" applyNumberFormat="1" applyFont="1" applyFill="1" applyBorder="1" applyAlignment="1">
      <alignment vertical="center" wrapText="1"/>
    </xf>
    <xf numFmtId="164" fontId="27" fillId="3" borderId="1" xfId="0" applyNumberFormat="1" applyFont="1" applyFill="1" applyBorder="1" applyAlignment="1">
      <alignment vertical="center" wrapText="1"/>
    </xf>
    <xf numFmtId="164" fontId="27" fillId="3" borderId="29" xfId="0" applyNumberFormat="1" applyFont="1" applyFill="1" applyBorder="1" applyAlignment="1">
      <alignment vertical="center" wrapText="1"/>
    </xf>
    <xf numFmtId="164" fontId="27" fillId="3" borderId="11" xfId="0" applyNumberFormat="1" applyFont="1" applyFill="1" applyBorder="1" applyAlignment="1">
      <alignment vertical="center" wrapText="1"/>
    </xf>
    <xf numFmtId="164" fontId="27" fillId="3" borderId="12" xfId="0" applyNumberFormat="1" applyFont="1" applyFill="1" applyBorder="1" applyAlignment="1">
      <alignment vertical="center" wrapText="1"/>
    </xf>
    <xf numFmtId="164" fontId="27" fillId="3" borderId="42" xfId="0" applyNumberFormat="1" applyFont="1" applyFill="1" applyBorder="1" applyAlignment="1">
      <alignment vertical="center" wrapText="1"/>
    </xf>
    <xf numFmtId="165" fontId="27" fillId="3" borderId="3" xfId="0" applyNumberFormat="1" applyFont="1" applyFill="1" applyBorder="1" applyAlignment="1">
      <alignment vertical="center" wrapText="1"/>
    </xf>
    <xf numFmtId="165" fontId="27" fillId="3" borderId="1" xfId="0" applyNumberFormat="1" applyFont="1" applyFill="1" applyBorder="1" applyAlignment="1">
      <alignment vertical="center" wrapText="1"/>
    </xf>
    <xf numFmtId="165" fontId="27" fillId="3" borderId="12" xfId="0" applyNumberFormat="1" applyFont="1" applyFill="1" applyBorder="1" applyAlignment="1">
      <alignment vertical="center" wrapText="1"/>
    </xf>
    <xf numFmtId="164" fontId="27" fillId="5" borderId="27" xfId="0" applyNumberFormat="1" applyFont="1" applyFill="1" applyBorder="1" applyAlignment="1">
      <alignment vertical="center" wrapText="1"/>
    </xf>
    <xf numFmtId="164" fontId="27" fillId="5" borderId="30" xfId="0" applyNumberFormat="1" applyFont="1" applyFill="1" applyBorder="1" applyAlignment="1">
      <alignment vertical="center" wrapText="1"/>
    </xf>
    <xf numFmtId="164" fontId="27" fillId="5" borderId="14" xfId="0" applyNumberFormat="1" applyFont="1" applyFill="1" applyBorder="1" applyAlignment="1">
      <alignment vertical="center" wrapText="1"/>
    </xf>
    <xf numFmtId="165" fontId="27" fillId="4" borderId="31" xfId="0" applyNumberFormat="1" applyFont="1" applyFill="1" applyBorder="1" applyAlignment="1">
      <alignment vertical="center" wrapText="1"/>
    </xf>
    <xf numFmtId="165" fontId="27" fillId="4" borderId="13" xfId="0" applyNumberFormat="1" applyFont="1" applyFill="1" applyBorder="1" applyAlignment="1">
      <alignment vertical="center" wrapText="1"/>
    </xf>
    <xf numFmtId="165" fontId="27" fillId="5" borderId="13" xfId="0" applyNumberFormat="1" applyFont="1" applyFill="1" applyBorder="1" applyAlignment="1">
      <alignment vertical="center" wrapText="1"/>
    </xf>
    <xf numFmtId="165" fontId="27" fillId="2" borderId="13" xfId="0" applyNumberFormat="1" applyFont="1" applyFill="1" applyBorder="1" applyAlignment="1">
      <alignment vertical="center" wrapText="1"/>
    </xf>
    <xf numFmtId="165" fontId="27" fillId="5" borderId="30" xfId="0" applyNumberFormat="1" applyFont="1" applyFill="1" applyBorder="1" applyAlignment="1">
      <alignment vertical="center" wrapText="1"/>
    </xf>
    <xf numFmtId="165" fontId="27" fillId="5" borderId="27" xfId="0" applyNumberFormat="1" applyFont="1" applyFill="1" applyBorder="1" applyAlignment="1">
      <alignment vertical="center" wrapText="1"/>
    </xf>
    <xf numFmtId="165" fontId="27" fillId="5" borderId="14" xfId="0" applyNumberFormat="1" applyFont="1" applyFill="1" applyBorder="1" applyAlignment="1">
      <alignment vertical="center" wrapText="1"/>
    </xf>
    <xf numFmtId="165" fontId="27" fillId="3" borderId="39" xfId="0" applyNumberFormat="1" applyFont="1" applyFill="1" applyBorder="1" applyAlignment="1">
      <alignment vertical="center" wrapText="1"/>
    </xf>
    <xf numFmtId="165" fontId="27" fillId="2" borderId="5" xfId="0" applyNumberFormat="1" applyFont="1" applyFill="1" applyBorder="1" applyAlignment="1">
      <alignment vertical="center" wrapText="1"/>
    </xf>
    <xf numFmtId="165" fontId="27" fillId="5" borderId="5" xfId="0" applyNumberFormat="1" applyFont="1" applyFill="1" applyBorder="1" applyAlignment="1">
      <alignment vertical="center" wrapText="1"/>
    </xf>
    <xf numFmtId="0" fontId="27" fillId="0" borderId="0" xfId="0" applyFont="1" applyFill="1" applyAlignment="1">
      <alignment vertical="center"/>
    </xf>
    <xf numFmtId="164" fontId="27" fillId="0" borderId="0" xfId="0" applyNumberFormat="1" applyFont="1" applyFill="1" applyBorder="1" applyAlignment="1">
      <alignment vertical="center" wrapText="1"/>
    </xf>
    <xf numFmtId="0" fontId="20" fillId="0" borderId="0" xfId="0" applyFont="1" applyFill="1" applyAlignment="1">
      <alignment horizontal="left" vertical="center"/>
    </xf>
    <xf numFmtId="0" fontId="42" fillId="0" borderId="0" xfId="0" applyFont="1" applyFill="1" applyAlignment="1">
      <alignment vertical="center"/>
    </xf>
    <xf numFmtId="0" fontId="37" fillId="0" borderId="0" xfId="0" applyFont="1" applyFill="1" applyAlignment="1">
      <alignment horizontal="left" vertical="center"/>
    </xf>
    <xf numFmtId="0" fontId="43" fillId="0" borderId="0" xfId="0" applyFont="1" applyFill="1" applyAlignment="1">
      <alignment vertical="center"/>
    </xf>
    <xf numFmtId="0" fontId="28" fillId="0" borderId="0" xfId="1" applyFont="1" applyFill="1" applyAlignment="1">
      <alignment vertical="center"/>
    </xf>
    <xf numFmtId="20" fontId="28" fillId="0" borderId="0" xfId="0" applyNumberFormat="1" applyFont="1" applyFill="1" applyAlignment="1">
      <alignment vertical="center"/>
    </xf>
    <xf numFmtId="20" fontId="28" fillId="0" borderId="0" xfId="0" applyNumberFormat="1" applyFont="1" applyAlignment="1">
      <alignment vertical="center"/>
    </xf>
    <xf numFmtId="0" fontId="36" fillId="13" borderId="11" xfId="0" applyFont="1" applyFill="1" applyBorder="1" applyAlignment="1">
      <alignment vertical="center" wrapText="1"/>
    </xf>
    <xf numFmtId="166" fontId="36" fillId="13" borderId="29" xfId="0" applyNumberFormat="1" applyFont="1" applyFill="1" applyBorder="1" applyAlignment="1">
      <alignment vertical="center" wrapText="1"/>
    </xf>
    <xf numFmtId="3" fontId="36" fillId="13" borderId="50" xfId="0" applyNumberFormat="1" applyFont="1" applyFill="1" applyBorder="1" applyAlignment="1">
      <alignment vertical="center" wrapText="1"/>
    </xf>
    <xf numFmtId="3" fontId="28" fillId="0" borderId="51" xfId="0" applyNumberFormat="1" applyFont="1" applyFill="1" applyBorder="1" applyAlignment="1">
      <alignment vertical="center" wrapText="1"/>
    </xf>
    <xf numFmtId="166" fontId="36" fillId="13" borderId="44" xfId="0" applyNumberFormat="1" applyFont="1" applyFill="1" applyBorder="1" applyAlignment="1">
      <alignment vertical="center" wrapText="1"/>
    </xf>
    <xf numFmtId="166" fontId="28" fillId="0" borderId="6" xfId="0" applyNumberFormat="1" applyFont="1" applyFill="1" applyBorder="1" applyAlignment="1">
      <alignment vertical="center" wrapText="1"/>
    </xf>
    <xf numFmtId="166" fontId="28" fillId="3" borderId="46" xfId="0" applyNumberFormat="1" applyFont="1" applyFill="1" applyBorder="1" applyAlignment="1">
      <alignment vertical="center" wrapText="1"/>
    </xf>
    <xf numFmtId="166" fontId="28" fillId="0" borderId="11" xfId="0" applyNumberFormat="1" applyFont="1" applyFill="1" applyBorder="1" applyAlignment="1">
      <alignment vertical="center" wrapText="1"/>
    </xf>
    <xf numFmtId="166" fontId="28" fillId="0" borderId="29" xfId="0" applyNumberFormat="1" applyFont="1" applyFill="1" applyBorder="1" applyAlignment="1">
      <alignment vertical="center" wrapText="1"/>
    </xf>
    <xf numFmtId="166" fontId="28" fillId="3" borderId="41" xfId="0" applyNumberFormat="1" applyFont="1" applyFill="1" applyBorder="1" applyAlignment="1">
      <alignment vertical="center" wrapText="1"/>
    </xf>
    <xf numFmtId="166" fontId="36" fillId="13" borderId="27" xfId="0" applyNumberFormat="1" applyFont="1" applyFill="1" applyBorder="1" applyAlignment="1">
      <alignment vertical="center" wrapText="1"/>
    </xf>
    <xf numFmtId="166" fontId="28" fillId="0" borderId="30" xfId="0" applyNumberFormat="1" applyFont="1" applyFill="1" applyBorder="1" applyAlignment="1">
      <alignment vertical="center" wrapText="1"/>
    </xf>
    <xf numFmtId="166" fontId="28" fillId="3" borderId="48" xfId="0" applyNumberFormat="1" applyFont="1" applyFill="1" applyBorder="1" applyAlignment="1">
      <alignment vertical="center" wrapText="1"/>
    </xf>
    <xf numFmtId="3" fontId="36" fillId="13" borderId="33" xfId="0" applyNumberFormat="1" applyFont="1" applyFill="1" applyBorder="1" applyAlignment="1">
      <alignment vertical="center" wrapText="1"/>
    </xf>
    <xf numFmtId="3" fontId="28" fillId="0" borderId="10" xfId="0" applyNumberFormat="1" applyFont="1" applyFill="1" applyBorder="1" applyAlignment="1">
      <alignment vertical="center" wrapText="1"/>
    </xf>
    <xf numFmtId="164" fontId="36" fillId="13" borderId="29" xfId="0" applyNumberFormat="1" applyFont="1" applyFill="1" applyBorder="1" applyAlignment="1">
      <alignment vertical="center" wrapText="1"/>
    </xf>
    <xf numFmtId="164" fontId="36" fillId="13" borderId="11" xfId="0" applyNumberFormat="1" applyFont="1" applyFill="1" applyBorder="1" applyAlignment="1">
      <alignment vertical="center" wrapText="1"/>
    </xf>
    <xf numFmtId="9" fontId="16" fillId="0" borderId="0" xfId="0" applyNumberFormat="1" applyFont="1"/>
    <xf numFmtId="9" fontId="44" fillId="0" borderId="0" xfId="0" applyNumberFormat="1" applyFont="1"/>
    <xf numFmtId="9" fontId="20" fillId="0" borderId="0" xfId="0" applyNumberFormat="1" applyFont="1"/>
    <xf numFmtId="0" fontId="47" fillId="0" borderId="0" xfId="0" applyFont="1" applyAlignment="1">
      <alignment horizontal="center"/>
    </xf>
    <xf numFmtId="0" fontId="16" fillId="0" borderId="54" xfId="0" applyFont="1" applyBorder="1" applyAlignment="1">
      <alignment horizontal="center"/>
    </xf>
    <xf numFmtId="0" fontId="16" fillId="0" borderId="52" xfId="0" applyFont="1" applyBorder="1" applyAlignment="1">
      <alignment horizontal="center"/>
    </xf>
    <xf numFmtId="9" fontId="12" fillId="0" borderId="53" xfId="0" applyNumberFormat="1" applyFont="1" applyBorder="1" applyAlignment="1">
      <alignment horizontal="center"/>
    </xf>
    <xf numFmtId="0" fontId="11" fillId="0" borderId="52" xfId="0" applyNumberFormat="1" applyFont="1" applyBorder="1" applyAlignment="1">
      <alignment horizontal="center"/>
    </xf>
    <xf numFmtId="0" fontId="16" fillId="9" borderId="52" xfId="0" applyFont="1" applyFill="1" applyBorder="1" applyAlignment="1">
      <alignment horizontal="center"/>
    </xf>
    <xf numFmtId="9" fontId="44" fillId="0" borderId="53" xfId="0" applyNumberFormat="1" applyFont="1" applyBorder="1" applyAlignment="1">
      <alignment horizontal="center"/>
    </xf>
    <xf numFmtId="0" fontId="16" fillId="26" borderId="20" xfId="0" applyFont="1" applyFill="1" applyBorder="1" applyAlignment="1">
      <alignment horizontal="center"/>
    </xf>
    <xf numFmtId="9" fontId="44" fillId="26" borderId="34" xfId="0" applyNumberFormat="1" applyFont="1" applyFill="1" applyBorder="1" applyAlignment="1">
      <alignment horizontal="center"/>
    </xf>
    <xf numFmtId="0" fontId="16" fillId="0" borderId="20" xfId="0" applyFont="1" applyBorder="1" applyAlignment="1">
      <alignment horizontal="center"/>
    </xf>
    <xf numFmtId="9" fontId="44" fillId="0" borderId="34" xfId="0" applyNumberFormat="1" applyFont="1" applyBorder="1" applyAlignment="1">
      <alignment horizontal="center"/>
    </xf>
    <xf numFmtId="0" fontId="16" fillId="26" borderId="52" xfId="0" applyFont="1" applyFill="1" applyBorder="1" applyAlignment="1">
      <alignment horizontal="center"/>
    </xf>
    <xf numFmtId="9" fontId="44" fillId="26" borderId="53" xfId="0" applyNumberFormat="1" applyFont="1" applyFill="1" applyBorder="1" applyAlignment="1">
      <alignment horizontal="center"/>
    </xf>
    <xf numFmtId="0" fontId="13" fillId="10" borderId="52" xfId="0" applyFont="1" applyFill="1" applyBorder="1" applyAlignment="1">
      <alignment horizontal="center"/>
    </xf>
    <xf numFmtId="0" fontId="47" fillId="10" borderId="52" xfId="0" applyFont="1" applyFill="1" applyBorder="1" applyAlignment="1">
      <alignment horizontal="center"/>
    </xf>
    <xf numFmtId="0" fontId="16" fillId="0" borderId="52" xfId="0" applyFont="1" applyFill="1" applyBorder="1" applyAlignment="1">
      <alignment horizontal="center"/>
    </xf>
    <xf numFmtId="0" fontId="48" fillId="9" borderId="52" xfId="0" applyNumberFormat="1" applyFont="1" applyFill="1" applyBorder="1" applyAlignment="1">
      <alignment horizontal="center"/>
    </xf>
    <xf numFmtId="0" fontId="16" fillId="11" borderId="52" xfId="0" applyFont="1" applyFill="1" applyBorder="1" applyAlignment="1">
      <alignment horizontal="center"/>
    </xf>
    <xf numFmtId="0" fontId="13" fillId="10" borderId="52" xfId="0" applyNumberFormat="1" applyFont="1" applyFill="1" applyBorder="1" applyAlignment="1">
      <alignment horizontal="center"/>
    </xf>
    <xf numFmtId="0" fontId="48" fillId="10" borderId="52" xfId="0" applyNumberFormat="1" applyFont="1" applyFill="1" applyBorder="1" applyAlignment="1">
      <alignment horizontal="center"/>
    </xf>
    <xf numFmtId="0" fontId="11" fillId="0" borderId="52" xfId="0" applyNumberFormat="1" applyFont="1" applyFill="1" applyBorder="1" applyAlignment="1">
      <alignment horizontal="center"/>
    </xf>
    <xf numFmtId="9" fontId="12" fillId="0" borderId="53" xfId="0" applyNumberFormat="1" applyFont="1" applyFill="1" applyBorder="1" applyAlignment="1">
      <alignment horizontal="center"/>
    </xf>
    <xf numFmtId="0" fontId="17" fillId="10" borderId="52" xfId="0" applyFont="1" applyFill="1" applyBorder="1" applyAlignment="1">
      <alignment horizontal="center"/>
    </xf>
    <xf numFmtId="0" fontId="11" fillId="11" borderId="52" xfId="0" applyNumberFormat="1" applyFont="1" applyFill="1" applyBorder="1" applyAlignment="1">
      <alignment horizontal="center"/>
    </xf>
    <xf numFmtId="4" fontId="16" fillId="9" borderId="52" xfId="0" applyNumberFormat="1" applyFont="1" applyFill="1" applyBorder="1" applyAlignment="1">
      <alignment horizontal="center"/>
    </xf>
    <xf numFmtId="4" fontId="16" fillId="26" borderId="52" xfId="0" applyNumberFormat="1" applyFont="1" applyFill="1" applyBorder="1" applyAlignment="1">
      <alignment horizontal="center"/>
    </xf>
    <xf numFmtId="4" fontId="16" fillId="0" borderId="52" xfId="0" applyNumberFormat="1" applyFont="1" applyBorder="1" applyAlignment="1">
      <alignment horizontal="center"/>
    </xf>
    <xf numFmtId="4" fontId="17" fillId="12" borderId="52" xfId="0" applyNumberFormat="1" applyFont="1" applyFill="1" applyBorder="1" applyAlignment="1">
      <alignment horizontal="center"/>
    </xf>
    <xf numFmtId="4" fontId="17" fillId="26" borderId="52" xfId="0" applyNumberFormat="1" applyFont="1" applyFill="1" applyBorder="1" applyAlignment="1">
      <alignment horizontal="center"/>
    </xf>
    <xf numFmtId="4" fontId="16" fillId="0" borderId="52" xfId="0" applyNumberFormat="1" applyFont="1" applyFill="1" applyBorder="1" applyAlignment="1">
      <alignment horizontal="center"/>
    </xf>
    <xf numFmtId="0" fontId="16" fillId="0" borderId="39" xfId="0" applyFont="1" applyBorder="1" applyAlignment="1">
      <alignment horizontal="center"/>
    </xf>
    <xf numFmtId="0" fontId="16" fillId="0" borderId="21" xfId="0" applyFont="1" applyBorder="1" applyAlignment="1">
      <alignment horizontal="center"/>
    </xf>
    <xf numFmtId="9" fontId="12" fillId="0" borderId="35" xfId="0" applyNumberFormat="1" applyFont="1" applyBorder="1" applyAlignment="1">
      <alignment horizontal="center"/>
    </xf>
    <xf numFmtId="0" fontId="11" fillId="0" borderId="21" xfId="0" applyNumberFormat="1" applyFont="1" applyBorder="1" applyAlignment="1">
      <alignment horizontal="center"/>
    </xf>
    <xf numFmtId="4" fontId="16" fillId="0" borderId="21" xfId="0" applyNumberFormat="1" applyFont="1" applyFill="1" applyBorder="1" applyAlignment="1">
      <alignment horizontal="center"/>
    </xf>
    <xf numFmtId="9" fontId="44" fillId="0" borderId="35" xfId="0" applyNumberFormat="1" applyFont="1" applyBorder="1" applyAlignment="1">
      <alignment horizontal="center"/>
    </xf>
    <xf numFmtId="4" fontId="16" fillId="26" borderId="21" xfId="0" applyNumberFormat="1" applyFont="1" applyFill="1" applyBorder="1" applyAlignment="1">
      <alignment horizontal="center"/>
    </xf>
    <xf numFmtId="9" fontId="44" fillId="26" borderId="35" xfId="0" applyNumberFormat="1" applyFont="1" applyFill="1" applyBorder="1" applyAlignment="1">
      <alignment horizontal="center"/>
    </xf>
    <xf numFmtId="0" fontId="16" fillId="0" borderId="0" xfId="0" applyFont="1" applyAlignment="1">
      <alignment horizontal="left"/>
    </xf>
    <xf numFmtId="9" fontId="12" fillId="0" borderId="0" xfId="0" applyNumberFormat="1" applyFont="1" applyAlignment="1">
      <alignment horizontal="center"/>
    </xf>
    <xf numFmtId="9" fontId="44" fillId="0" borderId="0" xfId="0" applyNumberFormat="1" applyFont="1" applyAlignment="1">
      <alignment horizontal="center"/>
    </xf>
    <xf numFmtId="0" fontId="16" fillId="9" borderId="0" xfId="0" applyFont="1" applyFill="1" applyAlignment="1">
      <alignment vertical="center"/>
    </xf>
    <xf numFmtId="9" fontId="12" fillId="9" borderId="0" xfId="0" applyNumberFormat="1" applyFont="1" applyFill="1" applyAlignment="1">
      <alignment horizontal="center"/>
    </xf>
    <xf numFmtId="0" fontId="11" fillId="9" borderId="0" xfId="0" applyNumberFormat="1" applyFont="1" applyFill="1" applyAlignment="1">
      <alignment horizontal="center"/>
    </xf>
    <xf numFmtId="0" fontId="16" fillId="9" borderId="0" xfId="0" applyFont="1" applyFill="1" applyAlignment="1">
      <alignment horizontal="center"/>
    </xf>
    <xf numFmtId="0" fontId="16" fillId="9" borderId="0" xfId="0" applyFont="1" applyFill="1"/>
    <xf numFmtId="9" fontId="44" fillId="9" borderId="0" xfId="0" applyNumberFormat="1" applyFont="1" applyFill="1" applyAlignment="1">
      <alignment horizontal="center"/>
    </xf>
    <xf numFmtId="9" fontId="44" fillId="0" borderId="0" xfId="0" applyNumberFormat="1" applyFont="1" applyFill="1" applyAlignment="1">
      <alignment horizontal="center"/>
    </xf>
    <xf numFmtId="0" fontId="16" fillId="10" borderId="0" xfId="0" applyFont="1" applyFill="1" applyAlignment="1">
      <alignment vertical="center"/>
    </xf>
    <xf numFmtId="9" fontId="12" fillId="10" borderId="0" xfId="0" applyNumberFormat="1" applyFont="1" applyFill="1" applyAlignment="1">
      <alignment horizontal="center"/>
    </xf>
    <xf numFmtId="0" fontId="11" fillId="10" borderId="0" xfId="0" applyNumberFormat="1" applyFont="1" applyFill="1" applyAlignment="1">
      <alignment horizontal="center"/>
    </xf>
    <xf numFmtId="0" fontId="16" fillId="10" borderId="0" xfId="0" applyFont="1" applyFill="1" applyAlignment="1">
      <alignment horizontal="center"/>
    </xf>
    <xf numFmtId="0" fontId="16" fillId="10" borderId="0" xfId="0" applyFont="1" applyFill="1"/>
    <xf numFmtId="9" fontId="44" fillId="10" borderId="0" xfId="0" applyNumberFormat="1" applyFont="1" applyFill="1" applyAlignment="1">
      <alignment horizontal="center"/>
    </xf>
    <xf numFmtId="0" fontId="16" fillId="0" borderId="0" xfId="0" applyFont="1" applyFill="1" applyAlignment="1">
      <alignment horizontal="center"/>
    </xf>
    <xf numFmtId="0" fontId="16" fillId="11" borderId="0" xfId="0" applyFont="1" applyFill="1" applyAlignment="1">
      <alignment vertical="center"/>
    </xf>
    <xf numFmtId="9" fontId="12" fillId="11" borderId="0" xfId="0" applyNumberFormat="1" applyFont="1" applyFill="1" applyAlignment="1">
      <alignment horizontal="center"/>
    </xf>
    <xf numFmtId="0" fontId="11" fillId="11" borderId="0" xfId="0" applyNumberFormat="1" applyFont="1" applyFill="1" applyAlignment="1">
      <alignment horizontal="center"/>
    </xf>
    <xf numFmtId="0" fontId="16" fillId="11" borderId="0" xfId="0" applyFont="1" applyFill="1" applyAlignment="1">
      <alignment horizontal="center"/>
    </xf>
    <xf numFmtId="0" fontId="16" fillId="11" borderId="0" xfId="0" applyFont="1" applyFill="1"/>
    <xf numFmtId="9" fontId="44" fillId="11" borderId="0" xfId="0" applyNumberFormat="1" applyFont="1" applyFill="1" applyAlignment="1">
      <alignment horizontal="center"/>
    </xf>
    <xf numFmtId="9" fontId="49" fillId="0" borderId="0" xfId="0" applyNumberFormat="1" applyFont="1" applyAlignment="1">
      <alignment horizontal="center"/>
    </xf>
    <xf numFmtId="9" fontId="21" fillId="0" borderId="0" xfId="0" applyNumberFormat="1" applyFont="1" applyAlignment="1">
      <alignment vertical="center"/>
    </xf>
    <xf numFmtId="9" fontId="23" fillId="0" borderId="0" xfId="0" applyNumberFormat="1" applyFont="1" applyAlignment="1">
      <alignment vertical="center"/>
    </xf>
    <xf numFmtId="0" fontId="11" fillId="0" borderId="0" xfId="0" applyFont="1" applyAlignment="1">
      <alignment horizontal="left" vertical="center"/>
    </xf>
    <xf numFmtId="0" fontId="51" fillId="0" borderId="0" xfId="1" applyFont="1" applyAlignment="1">
      <alignment horizontal="left"/>
    </xf>
    <xf numFmtId="3" fontId="36" fillId="13" borderId="11" xfId="0" applyNumberFormat="1" applyFont="1" applyFill="1" applyBorder="1" applyAlignment="1">
      <alignment vertical="center" wrapText="1"/>
    </xf>
    <xf numFmtId="165" fontId="36" fillId="13" borderId="29" xfId="0" applyNumberFormat="1" applyFont="1" applyFill="1" applyBorder="1" applyAlignment="1">
      <alignment vertical="center" wrapText="1"/>
    </xf>
    <xf numFmtId="3" fontId="36" fillId="13" borderId="49" xfId="0" applyNumberFormat="1" applyFont="1" applyFill="1" applyBorder="1" applyAlignment="1">
      <alignment vertical="center" wrapText="1"/>
    </xf>
    <xf numFmtId="3" fontId="36" fillId="13" borderId="32" xfId="0" applyNumberFormat="1" applyFont="1" applyFill="1" applyBorder="1" applyAlignment="1">
      <alignment vertical="center" wrapText="1"/>
    </xf>
    <xf numFmtId="165" fontId="36" fillId="13" borderId="11" xfId="0" applyNumberFormat="1" applyFont="1" applyFill="1" applyBorder="1" applyAlignment="1">
      <alignment vertical="center" wrapText="1"/>
    </xf>
    <xf numFmtId="166" fontId="36" fillId="13" borderId="30" xfId="0" applyNumberFormat="1" applyFont="1" applyFill="1" applyBorder="1" applyAlignment="1">
      <alignment vertical="center" wrapText="1"/>
    </xf>
    <xf numFmtId="0" fontId="20" fillId="27" borderId="20" xfId="0" applyFont="1" applyFill="1" applyBorder="1" applyAlignment="1">
      <alignment horizontal="center" vertical="center"/>
    </xf>
    <xf numFmtId="0" fontId="20" fillId="27" borderId="60" xfId="0" applyFont="1" applyFill="1" applyBorder="1" applyAlignment="1">
      <alignment vertical="center"/>
    </xf>
    <xf numFmtId="0" fontId="21" fillId="27" borderId="60" xfId="0" applyFont="1" applyFill="1" applyBorder="1" applyAlignment="1">
      <alignment vertical="center"/>
    </xf>
    <xf numFmtId="0" fontId="21" fillId="27" borderId="34" xfId="0" applyFont="1" applyFill="1" applyBorder="1" applyAlignment="1">
      <alignment vertical="center"/>
    </xf>
    <xf numFmtId="0" fontId="20" fillId="27" borderId="52" xfId="0" applyFont="1" applyFill="1" applyBorder="1" applyAlignment="1">
      <alignment horizontal="center" vertical="center"/>
    </xf>
    <xf numFmtId="0" fontId="21" fillId="27" borderId="0" xfId="0" applyFont="1" applyFill="1" applyBorder="1" applyAlignment="1">
      <alignment vertical="center"/>
    </xf>
    <xf numFmtId="0" fontId="21" fillId="27" borderId="53" xfId="0" applyFont="1" applyFill="1" applyBorder="1" applyAlignment="1">
      <alignment vertical="center"/>
    </xf>
    <xf numFmtId="0" fontId="20" fillId="27" borderId="22" xfId="0" applyFont="1" applyFill="1" applyBorder="1" applyAlignment="1">
      <alignment horizontal="center" vertical="center"/>
    </xf>
    <xf numFmtId="0" fontId="22" fillId="27" borderId="59" xfId="0" applyFont="1" applyFill="1" applyBorder="1" applyAlignment="1">
      <alignment vertical="center"/>
    </xf>
    <xf numFmtId="0" fontId="21" fillId="27" borderId="59" xfId="0" applyFont="1" applyFill="1" applyBorder="1" applyAlignment="1">
      <alignment vertical="center"/>
    </xf>
    <xf numFmtId="0" fontId="21" fillId="27" borderId="62" xfId="0" applyFont="1" applyFill="1" applyBorder="1" applyAlignment="1">
      <alignment vertical="center"/>
    </xf>
    <xf numFmtId="0" fontId="14" fillId="27" borderId="0" xfId="0" applyFont="1" applyFill="1" applyBorder="1" applyAlignment="1">
      <alignment vertical="center"/>
    </xf>
    <xf numFmtId="0" fontId="20" fillId="27" borderId="21" xfId="0" applyFont="1" applyFill="1" applyBorder="1" applyAlignment="1">
      <alignment horizontal="center" vertical="center"/>
    </xf>
    <xf numFmtId="0" fontId="22" fillId="27" borderId="36" xfId="0" applyFont="1" applyFill="1" applyBorder="1" applyAlignment="1">
      <alignment vertical="center"/>
    </xf>
    <xf numFmtId="0" fontId="21" fillId="27" borderId="36" xfId="0" applyFont="1" applyFill="1" applyBorder="1" applyAlignment="1">
      <alignment vertical="center"/>
    </xf>
    <xf numFmtId="0" fontId="21" fillId="27" borderId="35" xfId="0" applyFont="1" applyFill="1" applyBorder="1" applyAlignment="1">
      <alignment vertical="center"/>
    </xf>
    <xf numFmtId="0" fontId="20" fillId="28" borderId="52" xfId="0" applyFont="1" applyFill="1" applyBorder="1" applyAlignment="1">
      <alignment horizontal="center" vertical="center"/>
    </xf>
    <xf numFmtId="0" fontId="21" fillId="28" borderId="0" xfId="0" applyFont="1" applyFill="1" applyBorder="1" applyAlignment="1">
      <alignment vertical="center"/>
    </xf>
    <xf numFmtId="0" fontId="21" fillId="28" borderId="53" xfId="0" applyFont="1" applyFill="1" applyBorder="1" applyAlignment="1">
      <alignment vertical="center"/>
    </xf>
    <xf numFmtId="0" fontId="20" fillId="28" borderId="21" xfId="0" applyFont="1" applyFill="1" applyBorder="1" applyAlignment="1">
      <alignment horizontal="center" vertical="center"/>
    </xf>
    <xf numFmtId="0" fontId="21" fillId="28" borderId="36" xfId="0" applyFont="1" applyFill="1" applyBorder="1" applyAlignment="1">
      <alignment vertical="center"/>
    </xf>
    <xf numFmtId="0" fontId="21" fillId="28" borderId="35" xfId="0" applyFont="1" applyFill="1" applyBorder="1" applyAlignment="1">
      <alignment vertical="center"/>
    </xf>
    <xf numFmtId="0" fontId="23" fillId="28" borderId="0" xfId="0" applyFont="1" applyFill="1" applyBorder="1" applyAlignment="1">
      <alignment vertical="center"/>
    </xf>
    <xf numFmtId="0" fontId="21" fillId="28" borderId="58" xfId="0" applyFont="1" applyFill="1" applyBorder="1" applyAlignment="1">
      <alignment vertical="center"/>
    </xf>
    <xf numFmtId="0" fontId="23" fillId="28" borderId="59" xfId="0" applyFont="1" applyFill="1" applyBorder="1" applyAlignment="1">
      <alignment vertical="center"/>
    </xf>
    <xf numFmtId="0" fontId="21" fillId="28" borderId="59" xfId="0" applyFont="1" applyFill="1" applyBorder="1" applyAlignment="1">
      <alignment vertical="center"/>
    </xf>
    <xf numFmtId="0" fontId="21" fillId="28" borderId="4" xfId="0" applyFont="1" applyFill="1" applyBorder="1" applyAlignment="1">
      <alignment vertical="center"/>
    </xf>
    <xf numFmtId="0" fontId="52" fillId="27" borderId="0" xfId="0" applyFont="1" applyFill="1" applyBorder="1" applyAlignment="1">
      <alignment vertical="center"/>
    </xf>
    <xf numFmtId="0" fontId="53" fillId="28" borderId="0" xfId="0" applyFont="1" applyFill="1" applyBorder="1" applyAlignment="1">
      <alignment vertical="center"/>
    </xf>
    <xf numFmtId="1" fontId="27" fillId="27" borderId="23" xfId="0" applyNumberFormat="1" applyFont="1" applyFill="1" applyBorder="1" applyAlignment="1">
      <alignment vertical="center" wrapText="1"/>
    </xf>
    <xf numFmtId="164" fontId="27" fillId="29" borderId="1" xfId="0" applyNumberFormat="1" applyFont="1" applyFill="1" applyBorder="1" applyAlignment="1">
      <alignment vertical="center" wrapText="1"/>
    </xf>
    <xf numFmtId="164" fontId="28" fillId="29" borderId="1" xfId="0" applyNumberFormat="1" applyFont="1" applyFill="1" applyBorder="1" applyAlignment="1">
      <alignment vertical="center" wrapText="1"/>
    </xf>
    <xf numFmtId="0" fontId="27" fillId="29" borderId="44" xfId="0" applyFont="1" applyFill="1" applyBorder="1" applyAlignment="1">
      <alignment wrapText="1"/>
    </xf>
    <xf numFmtId="0" fontId="27" fillId="29" borderId="28" xfId="0" applyFont="1" applyFill="1" applyBorder="1" applyAlignment="1">
      <alignment wrapText="1"/>
    </xf>
    <xf numFmtId="3" fontId="28" fillId="29" borderId="11" xfId="0" applyNumberFormat="1" applyFont="1" applyFill="1" applyBorder="1" applyAlignment="1">
      <alignment vertical="center" wrapText="1"/>
    </xf>
    <xf numFmtId="3" fontId="28" fillId="29" borderId="1" xfId="0" applyNumberFormat="1" applyFont="1" applyFill="1" applyBorder="1" applyAlignment="1">
      <alignment vertical="center" wrapText="1"/>
    </xf>
    <xf numFmtId="166" fontId="28" fillId="29" borderId="28" xfId="0" applyNumberFormat="1" applyFont="1" applyFill="1" applyBorder="1" applyAlignment="1">
      <alignment vertical="center" wrapText="1"/>
    </xf>
    <xf numFmtId="166" fontId="28" fillId="29" borderId="1" xfId="0" applyNumberFormat="1" applyFont="1" applyFill="1" applyBorder="1" applyAlignment="1">
      <alignment vertical="center" wrapText="1"/>
    </xf>
    <xf numFmtId="166" fontId="28" fillId="29" borderId="13" xfId="0" applyNumberFormat="1" applyFont="1" applyFill="1" applyBorder="1" applyAlignment="1">
      <alignment vertical="center" wrapText="1"/>
    </xf>
    <xf numFmtId="165" fontId="27" fillId="29" borderId="1" xfId="0" applyNumberFormat="1" applyFont="1" applyFill="1" applyBorder="1" applyAlignment="1">
      <alignment vertical="center" wrapText="1"/>
    </xf>
    <xf numFmtId="165" fontId="28" fillId="29" borderId="1" xfId="0" applyNumberFormat="1" applyFont="1" applyFill="1" applyBorder="1" applyAlignment="1">
      <alignment vertical="center" wrapText="1"/>
    </xf>
    <xf numFmtId="164" fontId="28" fillId="29" borderId="11" xfId="0" applyNumberFormat="1" applyFont="1" applyFill="1" applyBorder="1" applyAlignment="1">
      <alignment vertical="center" wrapText="1"/>
    </xf>
    <xf numFmtId="166" fontId="28" fillId="29" borderId="12" xfId="0" applyNumberFormat="1" applyFont="1" applyFill="1" applyBorder="1" applyAlignment="1">
      <alignment vertical="center" wrapText="1"/>
    </xf>
    <xf numFmtId="165" fontId="27" fillId="27" borderId="26" xfId="0" applyNumberFormat="1" applyFont="1" applyFill="1" applyBorder="1" applyAlignment="1">
      <alignment vertical="center" wrapText="1"/>
    </xf>
    <xf numFmtId="165" fontId="27" fillId="27" borderId="1" xfId="0" applyNumberFormat="1" applyFont="1" applyFill="1" applyBorder="1" applyAlignment="1">
      <alignment vertical="center" wrapText="1"/>
    </xf>
    <xf numFmtId="164" fontId="27" fillId="27" borderId="23" xfId="0" applyNumberFormat="1" applyFont="1" applyFill="1" applyBorder="1" applyAlignment="1">
      <alignment vertical="center" wrapText="1"/>
    </xf>
    <xf numFmtId="0" fontId="27" fillId="27" borderId="23" xfId="0" applyFont="1" applyFill="1" applyBorder="1" applyAlignment="1">
      <alignment vertical="center" wrapText="1"/>
    </xf>
    <xf numFmtId="3" fontId="27" fillId="27" borderId="26" xfId="0" applyNumberFormat="1" applyFont="1" applyFill="1" applyBorder="1" applyAlignment="1">
      <alignment vertical="center" wrapText="1"/>
    </xf>
    <xf numFmtId="3" fontId="27" fillId="27" borderId="1" xfId="0" applyNumberFormat="1" applyFont="1" applyFill="1" applyBorder="1" applyAlignment="1">
      <alignment vertical="center" wrapText="1"/>
    </xf>
    <xf numFmtId="166" fontId="28" fillId="27" borderId="12" xfId="0" applyNumberFormat="1" applyFont="1" applyFill="1" applyBorder="1" applyAlignment="1">
      <alignment vertical="center" wrapText="1"/>
    </xf>
    <xf numFmtId="166" fontId="28" fillId="27" borderId="6" xfId="0" applyNumberFormat="1" applyFont="1" applyFill="1" applyBorder="1" applyAlignment="1">
      <alignment vertical="center" wrapText="1"/>
    </xf>
    <xf numFmtId="166" fontId="28" fillId="27" borderId="29" xfId="0" applyNumberFormat="1" applyFont="1" applyFill="1" applyBorder="1" applyAlignment="1">
      <alignment vertical="center" wrapText="1"/>
    </xf>
    <xf numFmtId="166" fontId="28" fillId="27" borderId="30" xfId="0" applyNumberFormat="1" applyFont="1" applyFill="1" applyBorder="1" applyAlignment="1">
      <alignment vertical="center" wrapText="1"/>
    </xf>
    <xf numFmtId="166" fontId="28" fillId="27" borderId="11" xfId="0" applyNumberFormat="1" applyFont="1" applyFill="1" applyBorder="1" applyAlignment="1">
      <alignment vertical="center" wrapText="1"/>
    </xf>
    <xf numFmtId="164" fontId="28" fillId="27" borderId="12" xfId="0" applyNumberFormat="1" applyFont="1" applyFill="1" applyBorder="1" applyAlignment="1">
      <alignment vertical="center" wrapText="1"/>
    </xf>
    <xf numFmtId="164" fontId="28" fillId="27" borderId="11" xfId="0" applyNumberFormat="1" applyFont="1" applyFill="1" applyBorder="1" applyAlignment="1">
      <alignment vertical="center" wrapText="1"/>
    </xf>
    <xf numFmtId="164" fontId="41" fillId="27" borderId="12" xfId="0" applyNumberFormat="1" applyFont="1" applyFill="1" applyBorder="1" applyAlignment="1">
      <alignment vertical="center" wrapText="1"/>
    </xf>
    <xf numFmtId="164" fontId="27" fillId="27" borderId="25" xfId="0" applyNumberFormat="1" applyFont="1" applyFill="1" applyBorder="1" applyAlignment="1">
      <alignment vertical="center" wrapText="1"/>
    </xf>
    <xf numFmtId="164" fontId="11" fillId="28" borderId="23" xfId="0" applyNumberFormat="1" applyFont="1" applyFill="1" applyBorder="1" applyAlignment="1">
      <alignment vertical="center" wrapText="1"/>
    </xf>
    <xf numFmtId="165" fontId="11" fillId="28" borderId="11" xfId="0" applyNumberFormat="1" applyFont="1" applyFill="1" applyBorder="1" applyAlignment="1">
      <alignment vertical="center" wrapText="1"/>
    </xf>
    <xf numFmtId="165" fontId="11" fillId="28" borderId="1" xfId="0" applyNumberFormat="1" applyFont="1" applyFill="1" applyBorder="1" applyAlignment="1">
      <alignment vertical="center" wrapText="1"/>
    </xf>
    <xf numFmtId="165" fontId="11" fillId="28" borderId="12" xfId="0" applyNumberFormat="1" applyFont="1" applyFill="1" applyBorder="1" applyAlignment="1">
      <alignment vertical="center" wrapText="1"/>
    </xf>
    <xf numFmtId="0" fontId="15" fillId="28" borderId="23" xfId="0" applyFont="1" applyFill="1" applyBorder="1" applyAlignment="1">
      <alignment vertical="center" wrapText="1"/>
    </xf>
    <xf numFmtId="0" fontId="11" fillId="28" borderId="22" xfId="0" applyFont="1" applyFill="1" applyBorder="1" applyAlignment="1">
      <alignment vertical="center" wrapText="1"/>
    </xf>
    <xf numFmtId="167" fontId="11" fillId="28" borderId="11" xfId="0" applyNumberFormat="1" applyFont="1" applyFill="1" applyBorder="1" applyAlignment="1">
      <alignment vertical="center" wrapText="1"/>
    </xf>
    <xf numFmtId="167" fontId="11" fillId="28" borderId="1" xfId="0" applyNumberFormat="1" applyFont="1" applyFill="1" applyBorder="1" applyAlignment="1">
      <alignment vertical="center" wrapText="1"/>
    </xf>
    <xf numFmtId="167" fontId="11" fillId="28" borderId="12" xfId="0" applyNumberFormat="1" applyFont="1" applyFill="1" applyBorder="1" applyAlignment="1">
      <alignment vertical="center" wrapText="1"/>
    </xf>
    <xf numFmtId="0" fontId="11" fillId="28" borderId="23" xfId="0" applyFont="1" applyFill="1" applyBorder="1" applyAlignment="1">
      <alignment vertical="center" wrapText="1"/>
    </xf>
    <xf numFmtId="2" fontId="11" fillId="28" borderId="22" xfId="0" applyNumberFormat="1" applyFont="1" applyFill="1" applyBorder="1" applyAlignment="1">
      <alignment vertical="center" wrapText="1"/>
    </xf>
    <xf numFmtId="2" fontId="11" fillId="28" borderId="23" xfId="0" applyNumberFormat="1" applyFont="1" applyFill="1" applyBorder="1" applyAlignment="1">
      <alignment vertical="center" wrapText="1"/>
    </xf>
    <xf numFmtId="1" fontId="11" fillId="28" borderId="23" xfId="0" applyNumberFormat="1" applyFont="1" applyFill="1" applyBorder="1" applyAlignment="1">
      <alignment vertical="center" wrapText="1"/>
    </xf>
    <xf numFmtId="3" fontId="11" fillId="28" borderId="11" xfId="0" applyNumberFormat="1" applyFont="1" applyFill="1" applyBorder="1" applyAlignment="1">
      <alignment vertical="center" wrapText="1"/>
    </xf>
    <xf numFmtId="3" fontId="11" fillId="28" borderId="1" xfId="0" applyNumberFormat="1" applyFont="1" applyFill="1" applyBorder="1" applyAlignment="1">
      <alignment vertical="center" wrapText="1"/>
    </xf>
    <xf numFmtId="3" fontId="11" fillId="28" borderId="12" xfId="0" applyNumberFormat="1" applyFont="1" applyFill="1" applyBorder="1" applyAlignment="1">
      <alignment vertical="center" wrapText="1"/>
    </xf>
    <xf numFmtId="0" fontId="14" fillId="27" borderId="23" xfId="0" applyFont="1" applyFill="1" applyBorder="1" applyAlignment="1">
      <alignment vertical="center" wrapText="1"/>
    </xf>
    <xf numFmtId="165" fontId="14" fillId="27" borderId="11" xfId="0" applyNumberFormat="1" applyFont="1" applyFill="1" applyBorder="1" applyAlignment="1">
      <alignment vertical="center" wrapText="1"/>
    </xf>
    <xf numFmtId="165" fontId="14" fillId="27" borderId="1" xfId="0" applyNumberFormat="1" applyFont="1" applyFill="1" applyBorder="1" applyAlignment="1">
      <alignment vertical="center" wrapText="1"/>
    </xf>
    <xf numFmtId="165" fontId="14" fillId="27" borderId="12" xfId="0" applyNumberFormat="1" applyFont="1" applyFill="1" applyBorder="1" applyAlignment="1">
      <alignment vertical="center" wrapText="1"/>
    </xf>
    <xf numFmtId="3" fontId="14" fillId="27" borderId="11" xfId="0" applyNumberFormat="1" applyFont="1" applyFill="1" applyBorder="1" applyAlignment="1">
      <alignment vertical="center" wrapText="1"/>
    </xf>
    <xf numFmtId="3" fontId="14" fillId="27" borderId="1" xfId="0" applyNumberFormat="1" applyFont="1" applyFill="1" applyBorder="1" applyAlignment="1">
      <alignment vertical="center" wrapText="1"/>
    </xf>
    <xf numFmtId="3" fontId="14" fillId="27" borderId="12" xfId="0" applyNumberFormat="1" applyFont="1" applyFill="1" applyBorder="1" applyAlignment="1">
      <alignment vertical="center" wrapText="1"/>
    </xf>
    <xf numFmtId="164" fontId="14" fillId="27" borderId="23" xfId="0" applyNumberFormat="1" applyFont="1" applyFill="1" applyBorder="1" applyAlignment="1">
      <alignment vertical="center" wrapText="1"/>
    </xf>
    <xf numFmtId="164" fontId="14" fillId="27" borderId="25" xfId="0" applyNumberFormat="1" applyFont="1" applyFill="1" applyBorder="1" applyAlignment="1">
      <alignment vertical="center" wrapText="1"/>
    </xf>
    <xf numFmtId="166" fontId="14" fillId="28" borderId="11" xfId="0" applyNumberFormat="1" applyFont="1" applyFill="1" applyBorder="1" applyAlignment="1">
      <alignment vertical="center" wrapText="1"/>
    </xf>
    <xf numFmtId="166" fontId="14" fillId="28" borderId="1" xfId="0" applyNumberFormat="1" applyFont="1" applyFill="1" applyBorder="1" applyAlignment="1">
      <alignment vertical="center" wrapText="1"/>
    </xf>
    <xf numFmtId="166" fontId="14" fillId="28" borderId="12" xfId="0" applyNumberFormat="1" applyFont="1" applyFill="1" applyBorder="1" applyAlignment="1">
      <alignment vertical="center" wrapText="1"/>
    </xf>
    <xf numFmtId="166" fontId="11" fillId="28" borderId="11" xfId="0" applyNumberFormat="1" applyFont="1" applyFill="1" applyBorder="1" applyAlignment="1">
      <alignment horizontal="right" vertical="center" wrapText="1"/>
    </xf>
    <xf numFmtId="2" fontId="11" fillId="28" borderId="43" xfId="0" applyNumberFormat="1" applyFont="1" applyFill="1" applyBorder="1" applyAlignment="1">
      <alignment vertical="center" wrapText="1"/>
    </xf>
    <xf numFmtId="3" fontId="11" fillId="28" borderId="32" xfId="0" applyNumberFormat="1" applyFont="1" applyFill="1" applyBorder="1" applyAlignment="1">
      <alignment vertical="center" wrapText="1"/>
    </xf>
    <xf numFmtId="3" fontId="11" fillId="28" borderId="2" xfId="0" applyNumberFormat="1" applyFont="1" applyFill="1" applyBorder="1" applyAlignment="1">
      <alignment vertical="center" wrapText="1"/>
    </xf>
    <xf numFmtId="3" fontId="11" fillId="28" borderId="10" xfId="0" applyNumberFormat="1" applyFont="1" applyFill="1" applyBorder="1" applyAlignment="1">
      <alignment vertical="center" wrapText="1"/>
    </xf>
    <xf numFmtId="0" fontId="27" fillId="28" borderId="22" xfId="0" applyFont="1" applyFill="1" applyBorder="1" applyAlignment="1">
      <alignment wrapText="1"/>
    </xf>
    <xf numFmtId="0" fontId="28" fillId="28" borderId="23" xfId="0" applyFont="1" applyFill="1" applyBorder="1" applyAlignment="1">
      <alignment vertical="center" wrapText="1"/>
    </xf>
    <xf numFmtId="0" fontId="27" fillId="28" borderId="24" xfId="0" applyFont="1" applyFill="1" applyBorder="1" applyAlignment="1">
      <alignment vertical="center" wrapText="1"/>
    </xf>
    <xf numFmtId="2" fontId="28" fillId="28" borderId="43" xfId="0" applyNumberFormat="1" applyFont="1" applyFill="1" applyBorder="1" applyAlignment="1">
      <alignment vertical="center" wrapText="1"/>
    </xf>
    <xf numFmtId="2" fontId="27" fillId="28" borderId="22" xfId="0" applyNumberFormat="1" applyFont="1" applyFill="1" applyBorder="1" applyAlignment="1">
      <alignment vertical="center" wrapText="1"/>
    </xf>
    <xf numFmtId="2" fontId="28" fillId="28" borderId="23" xfId="0" applyNumberFormat="1" applyFont="1" applyFill="1" applyBorder="1" applyAlignment="1">
      <alignment vertical="center" wrapText="1"/>
    </xf>
    <xf numFmtId="1" fontId="27" fillId="28" borderId="23" xfId="0" applyNumberFormat="1" applyFont="1" applyFill="1" applyBorder="1" applyAlignment="1">
      <alignment vertical="center" wrapText="1"/>
    </xf>
    <xf numFmtId="166" fontId="28" fillId="28" borderId="12" xfId="0" applyNumberFormat="1" applyFont="1" applyFill="1" applyBorder="1" applyAlignment="1">
      <alignment vertical="center" wrapText="1"/>
    </xf>
    <xf numFmtId="10" fontId="28" fillId="28" borderId="44" xfId="0" applyNumberFormat="1" applyFont="1" applyFill="1" applyBorder="1" applyAlignment="1">
      <alignment vertical="center" wrapText="1"/>
    </xf>
    <xf numFmtId="10" fontId="28" fillId="28" borderId="11" xfId="0" applyNumberFormat="1" applyFont="1" applyFill="1" applyBorder="1" applyAlignment="1">
      <alignment vertical="center" wrapText="1"/>
    </xf>
    <xf numFmtId="10" fontId="28" fillId="28" borderId="27" xfId="0" applyNumberFormat="1" applyFont="1" applyFill="1" applyBorder="1" applyAlignment="1">
      <alignment vertical="center" wrapText="1"/>
    </xf>
    <xf numFmtId="0" fontId="27" fillId="28" borderId="44" xfId="0" applyFont="1" applyFill="1" applyBorder="1" applyAlignment="1">
      <alignment wrapText="1"/>
    </xf>
    <xf numFmtId="0" fontId="27" fillId="28" borderId="28" xfId="0" applyFont="1" applyFill="1" applyBorder="1" applyAlignment="1">
      <alignment wrapText="1"/>
    </xf>
    <xf numFmtId="3" fontId="28" fillId="28" borderId="11" xfId="0" applyNumberFormat="1" applyFont="1" applyFill="1" applyBorder="1" applyAlignment="1">
      <alignment vertical="center" wrapText="1"/>
    </xf>
    <xf numFmtId="3" fontId="28" fillId="28" borderId="26" xfId="0" applyNumberFormat="1" applyFont="1" applyFill="1" applyBorder="1" applyAlignment="1">
      <alignment vertical="center" wrapText="1"/>
    </xf>
    <xf numFmtId="3" fontId="28" fillId="28" borderId="1" xfId="0" applyNumberFormat="1" applyFont="1" applyFill="1" applyBorder="1" applyAlignment="1">
      <alignment vertical="center" wrapText="1"/>
    </xf>
    <xf numFmtId="166" fontId="28" fillId="28" borderId="28" xfId="0" applyNumberFormat="1" applyFont="1" applyFill="1" applyBorder="1" applyAlignment="1">
      <alignment vertical="center" wrapText="1"/>
    </xf>
    <xf numFmtId="166" fontId="28" fillId="28" borderId="1" xfId="0" applyNumberFormat="1" applyFont="1" applyFill="1" applyBorder="1" applyAlignment="1">
      <alignment vertical="center" wrapText="1"/>
    </xf>
    <xf numFmtId="166" fontId="28" fillId="28" borderId="13" xfId="0" applyNumberFormat="1" applyFont="1" applyFill="1" applyBorder="1" applyAlignment="1">
      <alignment vertical="center" wrapText="1"/>
    </xf>
    <xf numFmtId="0" fontId="27" fillId="28" borderId="23" xfId="0" applyFont="1" applyFill="1" applyBorder="1" applyAlignment="1">
      <alignment vertical="center" wrapText="1"/>
    </xf>
    <xf numFmtId="16" fontId="28" fillId="28" borderId="23" xfId="0" applyNumberFormat="1" applyFont="1" applyFill="1" applyBorder="1" applyAlignment="1">
      <alignment vertical="center" wrapText="1"/>
    </xf>
    <xf numFmtId="164" fontId="28" fillId="28" borderId="23" xfId="0" applyNumberFormat="1" applyFont="1" applyFill="1" applyBorder="1" applyAlignment="1">
      <alignment vertical="center" wrapText="1"/>
    </xf>
    <xf numFmtId="165" fontId="27" fillId="28" borderId="26" xfId="0" applyNumberFormat="1" applyFont="1" applyFill="1" applyBorder="1" applyAlignment="1">
      <alignment vertical="center" wrapText="1"/>
    </xf>
    <xf numFmtId="165" fontId="27" fillId="28" borderId="1" xfId="0" applyNumberFormat="1" applyFont="1" applyFill="1" applyBorder="1" applyAlignment="1">
      <alignment vertical="center" wrapText="1"/>
    </xf>
    <xf numFmtId="165" fontId="28" fillId="28" borderId="26" xfId="0" applyNumberFormat="1" applyFont="1" applyFill="1" applyBorder="1" applyAlignment="1">
      <alignment vertical="center" wrapText="1"/>
    </xf>
    <xf numFmtId="165" fontId="28" fillId="28" borderId="1" xfId="0" applyNumberFormat="1" applyFont="1" applyFill="1" applyBorder="1" applyAlignment="1">
      <alignment vertical="center" wrapText="1"/>
    </xf>
    <xf numFmtId="164" fontId="28" fillId="28" borderId="1" xfId="0" applyNumberFormat="1" applyFont="1" applyFill="1" applyBorder="1" applyAlignment="1">
      <alignment vertical="center" wrapText="1"/>
    </xf>
    <xf numFmtId="164" fontId="41" fillId="28" borderId="11" xfId="0" applyNumberFormat="1" applyFont="1" applyFill="1" applyBorder="1" applyAlignment="1">
      <alignment vertical="center" wrapText="1"/>
    </xf>
    <xf numFmtId="164" fontId="28" fillId="28" borderId="11" xfId="0" applyNumberFormat="1" applyFont="1" applyFill="1" applyBorder="1" applyAlignment="1">
      <alignment vertical="center" wrapText="1"/>
    </xf>
    <xf numFmtId="164" fontId="27" fillId="28" borderId="1" xfId="0" applyNumberFormat="1" applyFont="1" applyFill="1" applyBorder="1" applyAlignment="1">
      <alignment vertical="center" wrapText="1"/>
    </xf>
    <xf numFmtId="164" fontId="27" fillId="28" borderId="26" xfId="0" applyNumberFormat="1" applyFont="1" applyFill="1" applyBorder="1" applyAlignment="1">
      <alignment vertical="center" wrapText="1"/>
    </xf>
    <xf numFmtId="166" fontId="27" fillId="28" borderId="4" xfId="0" applyNumberFormat="1" applyFont="1" applyFill="1" applyBorder="1" applyAlignment="1">
      <alignment vertical="center" wrapText="1"/>
    </xf>
    <xf numFmtId="166" fontId="27" fillId="28" borderId="2" xfId="0" applyNumberFormat="1" applyFont="1" applyFill="1" applyBorder="1" applyAlignment="1">
      <alignment vertical="center" wrapText="1"/>
    </xf>
    <xf numFmtId="166" fontId="27" fillId="13" borderId="2" xfId="0" applyNumberFormat="1" applyFont="1" applyFill="1" applyBorder="1" applyAlignment="1">
      <alignment vertical="center" wrapText="1"/>
    </xf>
    <xf numFmtId="166" fontId="27" fillId="13" borderId="28" xfId="0" applyNumberFormat="1" applyFont="1" applyFill="1" applyBorder="1" applyAlignment="1">
      <alignment vertical="center" wrapText="1"/>
    </xf>
    <xf numFmtId="166" fontId="27" fillId="28" borderId="1" xfId="0" applyNumberFormat="1" applyFont="1" applyFill="1" applyBorder="1" applyAlignment="1">
      <alignment vertical="center" wrapText="1"/>
    </xf>
    <xf numFmtId="166" fontId="27" fillId="13" borderId="33" xfId="0" applyNumberFormat="1" applyFont="1" applyFill="1" applyBorder="1" applyAlignment="1">
      <alignment vertical="center" wrapText="1"/>
    </xf>
    <xf numFmtId="166" fontId="27" fillId="28" borderId="26" xfId="0" applyNumberFormat="1" applyFont="1" applyFill="1" applyBorder="1" applyAlignment="1">
      <alignment vertical="center" wrapText="1"/>
    </xf>
    <xf numFmtId="166" fontId="28" fillId="13" borderId="1" xfId="0" applyNumberFormat="1" applyFont="1" applyFill="1" applyBorder="1" applyAlignment="1">
      <alignment horizontal="center" vertical="center" wrapText="1"/>
    </xf>
    <xf numFmtId="166" fontId="27" fillId="13" borderId="1" xfId="0" applyNumberFormat="1" applyFont="1" applyFill="1" applyBorder="1" applyAlignment="1">
      <alignment vertical="center" wrapText="1"/>
    </xf>
    <xf numFmtId="166" fontId="27" fillId="13" borderId="29" xfId="0" applyNumberFormat="1" applyFont="1" applyFill="1" applyBorder="1" applyAlignment="1">
      <alignment vertical="center" wrapText="1"/>
    </xf>
    <xf numFmtId="3" fontId="27" fillId="28" borderId="49" xfId="0" applyNumberFormat="1" applyFont="1" applyFill="1" applyBorder="1" applyAlignment="1">
      <alignment vertical="center" wrapText="1"/>
    </xf>
    <xf numFmtId="3" fontId="27" fillId="28" borderId="3" xfId="0" applyNumberFormat="1" applyFont="1" applyFill="1" applyBorder="1" applyAlignment="1">
      <alignment vertical="center" wrapText="1"/>
    </xf>
    <xf numFmtId="3" fontId="27" fillId="13" borderId="3" xfId="0" applyNumberFormat="1" applyFont="1" applyFill="1" applyBorder="1" applyAlignment="1">
      <alignment vertical="center" wrapText="1"/>
    </xf>
    <xf numFmtId="3" fontId="27" fillId="13" borderId="50" xfId="0" applyNumberFormat="1" applyFont="1" applyFill="1" applyBorder="1" applyAlignment="1">
      <alignment vertical="center" wrapText="1"/>
    </xf>
    <xf numFmtId="2" fontId="28" fillId="28" borderId="47" xfId="0" applyNumberFormat="1" applyFont="1" applyFill="1" applyBorder="1" applyAlignment="1">
      <alignment vertical="center" wrapText="1"/>
    </xf>
    <xf numFmtId="3" fontId="28" fillId="28" borderId="10" xfId="0" applyNumberFormat="1" applyFont="1" applyFill="1" applyBorder="1" applyAlignment="1">
      <alignment vertical="center" wrapText="1"/>
    </xf>
    <xf numFmtId="3" fontId="28" fillId="28" borderId="51" xfId="0" applyNumberFormat="1" applyFont="1" applyFill="1" applyBorder="1" applyAlignment="1">
      <alignment vertical="center" wrapText="1"/>
    </xf>
    <xf numFmtId="2" fontId="20" fillId="6" borderId="50" xfId="0" applyNumberFormat="1" applyFont="1" applyFill="1" applyBorder="1" applyAlignment="1">
      <alignment horizontal="center" vertical="center"/>
    </xf>
    <xf numFmtId="0" fontId="20" fillId="6" borderId="29" xfId="0" applyFont="1" applyFill="1" applyBorder="1" applyAlignment="1">
      <alignment vertical="center"/>
    </xf>
    <xf numFmtId="0" fontId="21" fillId="6" borderId="61" xfId="0" applyFont="1" applyFill="1" applyBorder="1" applyAlignment="1">
      <alignment vertical="center"/>
    </xf>
    <xf numFmtId="0" fontId="21" fillId="6" borderId="26" xfId="0" applyFont="1" applyFill="1" applyBorder="1" applyAlignment="1">
      <alignment vertical="center"/>
    </xf>
    <xf numFmtId="10" fontId="20" fillId="6" borderId="50" xfId="0" applyNumberFormat="1" applyFont="1" applyFill="1" applyBorder="1" applyAlignment="1">
      <alignment horizontal="center" vertical="center"/>
    </xf>
    <xf numFmtId="164" fontId="20" fillId="6" borderId="50" xfId="0" applyNumberFormat="1" applyFont="1" applyFill="1" applyBorder="1" applyAlignment="1">
      <alignment horizontal="center" vertical="center"/>
    </xf>
    <xf numFmtId="3" fontId="20" fillId="6" borderId="50" xfId="0" applyNumberFormat="1" applyFont="1" applyFill="1" applyBorder="1" applyAlignment="1">
      <alignment horizontal="center" vertical="center"/>
    </xf>
    <xf numFmtId="0" fontId="20" fillId="6" borderId="56" xfId="0" applyFont="1" applyFill="1" applyBorder="1" applyAlignment="1">
      <alignment vertical="center"/>
    </xf>
    <xf numFmtId="0" fontId="21" fillId="6" borderId="56" xfId="0" applyFont="1" applyFill="1" applyBorder="1" applyAlignment="1">
      <alignment vertical="center"/>
    </xf>
    <xf numFmtId="0" fontId="21" fillId="6" borderId="16" xfId="0" applyFont="1" applyFill="1" applyBorder="1" applyAlignment="1">
      <alignment vertical="center"/>
    </xf>
    <xf numFmtId="2" fontId="58" fillId="6" borderId="57" xfId="0" applyNumberFormat="1" applyFont="1" applyFill="1" applyBorder="1" applyAlignment="1">
      <alignment horizontal="center" vertical="center"/>
    </xf>
    <xf numFmtId="2" fontId="59" fillId="6" borderId="57" xfId="0" applyNumberFormat="1" applyFont="1" applyFill="1" applyBorder="1" applyAlignment="1">
      <alignment horizontal="center" vertical="center"/>
    </xf>
    <xf numFmtId="49" fontId="59" fillId="6" borderId="33" xfId="0" applyNumberFormat="1" applyFont="1" applyFill="1" applyBorder="1" applyAlignment="1">
      <alignment horizontal="center" vertical="center"/>
    </xf>
    <xf numFmtId="2" fontId="58" fillId="0" borderId="0" xfId="0" applyNumberFormat="1" applyFont="1" applyAlignment="1">
      <alignment horizontal="center" vertical="center"/>
    </xf>
    <xf numFmtId="2" fontId="58" fillId="6" borderId="33" xfId="0" applyNumberFormat="1" applyFont="1" applyFill="1" applyBorder="1" applyAlignment="1">
      <alignment horizontal="center" vertical="center"/>
    </xf>
    <xf numFmtId="2" fontId="59" fillId="6" borderId="33" xfId="0" applyNumberFormat="1" applyFont="1" applyFill="1" applyBorder="1" applyAlignment="1">
      <alignment horizontal="center" vertical="center"/>
    </xf>
    <xf numFmtId="2" fontId="20" fillId="0" borderId="0" xfId="0" applyNumberFormat="1" applyFont="1" applyFill="1" applyAlignment="1">
      <alignment horizontal="center" vertical="center"/>
    </xf>
    <xf numFmtId="165" fontId="28" fillId="28" borderId="11" xfId="0" applyNumberFormat="1" applyFont="1" applyFill="1" applyBorder="1" applyAlignment="1">
      <alignment vertical="center" wrapText="1"/>
    </xf>
    <xf numFmtId="3" fontId="27" fillId="27" borderId="11" xfId="0" applyNumberFormat="1" applyFont="1" applyFill="1" applyBorder="1" applyAlignment="1">
      <alignment vertical="center" wrapText="1"/>
    </xf>
    <xf numFmtId="3" fontId="27" fillId="27" borderId="12" xfId="0" applyNumberFormat="1" applyFont="1" applyFill="1" applyBorder="1" applyAlignment="1">
      <alignment vertical="center" wrapText="1"/>
    </xf>
    <xf numFmtId="165" fontId="27" fillId="27" borderId="11" xfId="0" applyNumberFormat="1" applyFont="1" applyFill="1" applyBorder="1" applyAlignment="1">
      <alignment vertical="center" wrapText="1"/>
    </xf>
    <xf numFmtId="165" fontId="27" fillId="27" borderId="12" xfId="0" applyNumberFormat="1" applyFont="1" applyFill="1" applyBorder="1" applyAlignment="1">
      <alignment vertical="center" wrapText="1"/>
    </xf>
    <xf numFmtId="166" fontId="27" fillId="3" borderId="40" xfId="0" applyNumberFormat="1" applyFont="1" applyFill="1" applyBorder="1" applyAlignment="1">
      <alignment vertical="center" wrapText="1"/>
    </xf>
    <xf numFmtId="166" fontId="27" fillId="3" borderId="41" xfId="0" applyNumberFormat="1" applyFont="1" applyFill="1" applyBorder="1" applyAlignment="1">
      <alignment vertical="center" wrapText="1"/>
    </xf>
    <xf numFmtId="0" fontId="27" fillId="29" borderId="45" xfId="0" applyFont="1" applyFill="1" applyBorder="1" applyAlignment="1">
      <alignment wrapText="1"/>
    </xf>
    <xf numFmtId="3" fontId="28" fillId="29" borderId="12" xfId="0" applyNumberFormat="1" applyFont="1" applyFill="1" applyBorder="1" applyAlignment="1">
      <alignment vertical="center" wrapText="1"/>
    </xf>
    <xf numFmtId="166" fontId="28" fillId="29" borderId="7" xfId="0" applyNumberFormat="1" applyFont="1" applyFill="1" applyBorder="1" applyAlignment="1">
      <alignment vertical="center" wrapText="1"/>
    </xf>
    <xf numFmtId="166" fontId="28" fillId="29" borderId="45" xfId="0" applyNumberFormat="1" applyFont="1" applyFill="1" applyBorder="1" applyAlignment="1">
      <alignment vertical="center" wrapText="1"/>
    </xf>
    <xf numFmtId="166" fontId="28" fillId="29" borderId="26" xfId="0" applyNumberFormat="1" applyFont="1" applyFill="1" applyBorder="1" applyAlignment="1">
      <alignment vertical="center" wrapText="1"/>
    </xf>
    <xf numFmtId="166" fontId="28" fillId="29" borderId="31" xfId="0" applyNumberFormat="1" applyFont="1" applyFill="1" applyBorder="1" applyAlignment="1">
      <alignment vertical="center" wrapText="1"/>
    </xf>
    <xf numFmtId="166" fontId="28" fillId="29" borderId="14" xfId="0" applyNumberFormat="1" applyFont="1" applyFill="1" applyBorder="1" applyAlignment="1">
      <alignment vertical="center" wrapText="1"/>
    </xf>
    <xf numFmtId="166" fontId="27" fillId="29" borderId="32" xfId="0" applyNumberFormat="1" applyFont="1" applyFill="1" applyBorder="1" applyAlignment="1">
      <alignment vertical="center" wrapText="1"/>
    </xf>
    <xf numFmtId="166" fontId="27" fillId="29" borderId="2" xfId="0" applyNumberFormat="1" applyFont="1" applyFill="1" applyBorder="1" applyAlignment="1">
      <alignment vertical="center" wrapText="1"/>
    </xf>
    <xf numFmtId="166" fontId="27" fillId="29" borderId="10" xfId="0" applyNumberFormat="1" applyFont="1" applyFill="1" applyBorder="1" applyAlignment="1">
      <alignment vertical="center" wrapText="1"/>
    </xf>
    <xf numFmtId="166" fontId="27" fillId="29" borderId="11" xfId="0" applyNumberFormat="1" applyFont="1" applyFill="1" applyBorder="1" applyAlignment="1">
      <alignment vertical="center" wrapText="1"/>
    </xf>
    <xf numFmtId="166" fontId="27" fillId="29" borderId="1" xfId="0" applyNumberFormat="1" applyFont="1" applyFill="1" applyBorder="1" applyAlignment="1">
      <alignment vertical="center" wrapText="1"/>
    </xf>
    <xf numFmtId="166" fontId="27" fillId="29" borderId="12" xfId="0" applyNumberFormat="1" applyFont="1" applyFill="1" applyBorder="1" applyAlignment="1">
      <alignment vertical="center" wrapText="1"/>
    </xf>
    <xf numFmtId="164" fontId="27" fillId="29" borderId="11" xfId="0" applyNumberFormat="1" applyFont="1" applyFill="1" applyBorder="1" applyAlignment="1">
      <alignment vertical="center" wrapText="1"/>
    </xf>
    <xf numFmtId="164" fontId="27" fillId="29" borderId="12" xfId="0" applyNumberFormat="1" applyFont="1" applyFill="1" applyBorder="1" applyAlignment="1">
      <alignment vertical="center" wrapText="1"/>
    </xf>
    <xf numFmtId="164" fontId="28" fillId="29" borderId="12" xfId="0" applyNumberFormat="1" applyFont="1" applyFill="1" applyBorder="1" applyAlignment="1">
      <alignment vertical="center" wrapText="1"/>
    </xf>
    <xf numFmtId="165" fontId="28" fillId="29" borderId="11" xfId="0" applyNumberFormat="1" applyFont="1" applyFill="1" applyBorder="1" applyAlignment="1">
      <alignment vertical="center" wrapText="1"/>
    </xf>
    <xf numFmtId="165" fontId="28" fillId="29" borderId="12" xfId="0" applyNumberFormat="1" applyFont="1" applyFill="1" applyBorder="1" applyAlignment="1">
      <alignment vertical="center" wrapText="1"/>
    </xf>
    <xf numFmtId="165" fontId="27" fillId="29" borderId="11" xfId="0" applyNumberFormat="1" applyFont="1" applyFill="1" applyBorder="1" applyAlignment="1">
      <alignment vertical="center" wrapText="1"/>
    </xf>
    <xf numFmtId="165" fontId="27" fillId="29" borderId="12" xfId="0" applyNumberFormat="1" applyFont="1" applyFill="1" applyBorder="1" applyAlignment="1">
      <alignment vertical="center" wrapText="1"/>
    </xf>
    <xf numFmtId="3" fontId="27" fillId="29" borderId="49" xfId="0" applyNumberFormat="1" applyFont="1" applyFill="1" applyBorder="1" applyAlignment="1">
      <alignment vertical="center" wrapText="1"/>
    </xf>
    <xf numFmtId="3" fontId="27" fillId="29" borderId="3" xfId="0" applyNumberFormat="1" applyFont="1" applyFill="1" applyBorder="1" applyAlignment="1">
      <alignment vertical="center" wrapText="1"/>
    </xf>
    <xf numFmtId="3" fontId="27" fillId="29" borderId="51" xfId="0" applyNumberFormat="1" applyFont="1" applyFill="1" applyBorder="1" applyAlignment="1">
      <alignment vertical="center" wrapText="1"/>
    </xf>
    <xf numFmtId="3" fontId="27" fillId="3" borderId="42" xfId="0" applyNumberFormat="1" applyFont="1" applyFill="1" applyBorder="1" applyAlignment="1">
      <alignment vertical="center" wrapText="1"/>
    </xf>
    <xf numFmtId="0" fontId="27" fillId="3" borderId="39" xfId="0" applyFont="1" applyFill="1" applyBorder="1" applyAlignment="1">
      <alignment horizontal="center" vertical="center" wrapText="1"/>
    </xf>
    <xf numFmtId="0" fontId="28" fillId="3" borderId="61" xfId="0" applyFont="1" applyFill="1" applyBorder="1" applyAlignment="1">
      <alignment vertical="center" wrapText="1"/>
    </xf>
    <xf numFmtId="0" fontId="55" fillId="3" borderId="36" xfId="0" applyFont="1" applyFill="1" applyBorder="1" applyAlignment="1">
      <alignment horizontal="center" vertical="center" wrapText="1"/>
    </xf>
    <xf numFmtId="0" fontId="61" fillId="3" borderId="60" xfId="0" applyFont="1" applyFill="1" applyBorder="1" applyAlignment="1">
      <alignment horizontal="center" vertical="center" wrapText="1"/>
    </xf>
    <xf numFmtId="0" fontId="27" fillId="29" borderId="68" xfId="0" applyFont="1" applyFill="1" applyBorder="1" applyAlignment="1">
      <alignment wrapText="1"/>
    </xf>
    <xf numFmtId="3" fontId="28" fillId="29" borderId="61" xfId="0" applyNumberFormat="1" applyFont="1" applyFill="1" applyBorder="1" applyAlignment="1">
      <alignment vertical="center" wrapText="1"/>
    </xf>
    <xf numFmtId="3" fontId="27" fillId="29" borderId="56" xfId="0" applyNumberFormat="1" applyFont="1" applyFill="1" applyBorder="1" applyAlignment="1">
      <alignment vertical="center" wrapText="1"/>
    </xf>
    <xf numFmtId="166" fontId="28" fillId="29" borderId="68" xfId="0" applyNumberFormat="1" applyFont="1" applyFill="1" applyBorder="1" applyAlignment="1">
      <alignment horizontal="right" vertical="center" wrapText="1"/>
    </xf>
    <xf numFmtId="166" fontId="28" fillId="29" borderId="61" xfId="0" applyNumberFormat="1" applyFont="1" applyFill="1" applyBorder="1" applyAlignment="1">
      <alignment horizontal="right" vertical="center" wrapText="1"/>
    </xf>
    <xf numFmtId="166" fontId="28" fillId="29" borderId="69" xfId="0" applyNumberFormat="1" applyFont="1" applyFill="1" applyBorder="1" applyAlignment="1">
      <alignment horizontal="right" vertical="center" wrapText="1"/>
    </xf>
    <xf numFmtId="166" fontId="27" fillId="29" borderId="59" xfId="0" applyNumberFormat="1" applyFont="1" applyFill="1" applyBorder="1" applyAlignment="1">
      <alignment horizontal="right" vertical="center" wrapText="1"/>
    </xf>
    <xf numFmtId="166" fontId="27" fillId="29" borderId="61" xfId="0" applyNumberFormat="1" applyFont="1" applyFill="1" applyBorder="1" applyAlignment="1">
      <alignment horizontal="right" vertical="center" wrapText="1"/>
    </xf>
    <xf numFmtId="3" fontId="27" fillId="27" borderId="61" xfId="0" applyNumberFormat="1" applyFont="1" applyFill="1" applyBorder="1" applyAlignment="1">
      <alignment horizontal="right" vertical="center" wrapText="1"/>
    </xf>
    <xf numFmtId="3" fontId="27" fillId="27" borderId="61" xfId="0" applyNumberFormat="1" applyFont="1" applyFill="1" applyBorder="1" applyAlignment="1">
      <alignment vertical="center" wrapText="1"/>
    </xf>
    <xf numFmtId="165" fontId="27" fillId="29" borderId="61" xfId="0" applyNumberFormat="1" applyFont="1" applyFill="1" applyBorder="1" applyAlignment="1">
      <alignment vertical="center" wrapText="1"/>
    </xf>
    <xf numFmtId="165" fontId="28" fillId="29" borderId="61" xfId="0" applyNumberFormat="1" applyFont="1" applyFill="1" applyBorder="1" applyAlignment="1">
      <alignment vertical="center" wrapText="1"/>
    </xf>
    <xf numFmtId="165" fontId="27" fillId="27" borderId="61" xfId="0" applyNumberFormat="1" applyFont="1" applyFill="1" applyBorder="1" applyAlignment="1">
      <alignment vertical="center" wrapText="1"/>
    </xf>
    <xf numFmtId="4" fontId="27" fillId="3" borderId="61" xfId="0" applyNumberFormat="1" applyFont="1" applyFill="1" applyBorder="1" applyAlignment="1">
      <alignment vertical="center" wrapText="1"/>
    </xf>
    <xf numFmtId="164" fontId="28" fillId="29" borderId="61" xfId="0" applyNumberFormat="1" applyFont="1" applyFill="1" applyBorder="1" applyAlignment="1">
      <alignment vertical="center" wrapText="1"/>
    </xf>
    <xf numFmtId="165" fontId="27" fillId="3" borderId="56" xfId="0" applyNumberFormat="1" applyFont="1" applyFill="1" applyBorder="1" applyAlignment="1">
      <alignment vertical="center" wrapText="1"/>
    </xf>
    <xf numFmtId="165" fontId="27" fillId="27" borderId="70" xfId="0" applyNumberFormat="1" applyFont="1" applyFill="1" applyBorder="1" applyAlignment="1">
      <alignment vertical="center" wrapText="1"/>
    </xf>
    <xf numFmtId="0" fontId="34" fillId="6" borderId="65" xfId="0" applyFont="1" applyFill="1" applyBorder="1" applyAlignment="1">
      <alignment horizontal="center" vertical="center" wrapText="1"/>
    </xf>
    <xf numFmtId="0" fontId="34" fillId="6" borderId="67" xfId="0" applyFont="1" applyFill="1" applyBorder="1" applyAlignment="1">
      <alignment horizontal="center" vertical="center" wrapText="1"/>
    </xf>
    <xf numFmtId="0" fontId="34" fillId="3" borderId="37" xfId="0" applyFont="1" applyFill="1" applyBorder="1" applyAlignment="1">
      <alignment horizontal="center"/>
    </xf>
    <xf numFmtId="0" fontId="34" fillId="3" borderId="66" xfId="0" applyFont="1" applyFill="1" applyBorder="1" applyAlignment="1">
      <alignment horizontal="center" vertical="center" wrapText="1"/>
    </xf>
    <xf numFmtId="166" fontId="28" fillId="28" borderId="44" xfId="0" applyNumberFormat="1" applyFont="1" applyFill="1" applyBorder="1" applyAlignment="1">
      <alignment vertical="center" wrapText="1"/>
    </xf>
    <xf numFmtId="166" fontId="28" fillId="28" borderId="11" xfId="0" applyNumberFormat="1" applyFont="1" applyFill="1" applyBorder="1" applyAlignment="1">
      <alignment vertical="center" wrapText="1"/>
    </xf>
    <xf numFmtId="166" fontId="28" fillId="28" borderId="27" xfId="0" applyNumberFormat="1" applyFont="1" applyFill="1" applyBorder="1" applyAlignment="1">
      <alignment vertical="center" wrapText="1"/>
    </xf>
    <xf numFmtId="166" fontId="27" fillId="28" borderId="32" xfId="0" applyNumberFormat="1" applyFont="1" applyFill="1" applyBorder="1" applyAlignment="1">
      <alignment vertical="center" wrapText="1"/>
    </xf>
    <xf numFmtId="166" fontId="27" fillId="28" borderId="11" xfId="0" applyNumberFormat="1" applyFont="1" applyFill="1" applyBorder="1" applyAlignment="1">
      <alignment vertical="center" wrapText="1"/>
    </xf>
    <xf numFmtId="0" fontId="27" fillId="3" borderId="11" xfId="0" applyFont="1" applyFill="1" applyBorder="1" applyAlignment="1">
      <alignment horizontal="center" vertical="center" wrapText="1"/>
    </xf>
    <xf numFmtId="165" fontId="27" fillId="28" borderId="11" xfId="0" applyNumberFormat="1" applyFont="1" applyFill="1" applyBorder="1" applyAlignment="1">
      <alignment vertical="center" wrapText="1"/>
    </xf>
    <xf numFmtId="165" fontId="27" fillId="3" borderId="49" xfId="0" applyNumberFormat="1" applyFont="1" applyFill="1" applyBorder="1" applyAlignment="1">
      <alignment vertical="center" wrapText="1"/>
    </xf>
    <xf numFmtId="165" fontId="27" fillId="2" borderId="71" xfId="0" applyNumberFormat="1" applyFont="1" applyFill="1" applyBorder="1" applyAlignment="1">
      <alignment vertical="center" wrapText="1"/>
    </xf>
    <xf numFmtId="166" fontId="38" fillId="5" borderId="10" xfId="0" applyNumberFormat="1" applyFont="1" applyFill="1" applyBorder="1" applyAlignment="1">
      <alignment vertical="center" wrapText="1"/>
    </xf>
    <xf numFmtId="166" fontId="36" fillId="5" borderId="12" xfId="0" applyNumberFormat="1" applyFont="1" applyFill="1" applyBorder="1" applyAlignment="1">
      <alignment vertical="center" wrapText="1"/>
    </xf>
    <xf numFmtId="166" fontId="40" fillId="5" borderId="12" xfId="0" applyNumberFormat="1" applyFont="1" applyFill="1" applyBorder="1" applyAlignment="1">
      <alignment vertical="center" wrapText="1"/>
    </xf>
    <xf numFmtId="165" fontId="27" fillId="3" borderId="51" xfId="0" applyNumberFormat="1" applyFont="1" applyFill="1" applyBorder="1" applyAlignment="1">
      <alignment vertical="center" wrapText="1"/>
    </xf>
    <xf numFmtId="165" fontId="27" fillId="5" borderId="72" xfId="0" applyNumberFormat="1" applyFont="1" applyFill="1" applyBorder="1" applyAlignment="1">
      <alignment vertical="center" wrapText="1"/>
    </xf>
    <xf numFmtId="0" fontId="34" fillId="3" borderId="37" xfId="0" applyFont="1" applyFill="1" applyBorder="1" applyAlignment="1">
      <alignment horizontal="center" vertical="center" wrapText="1"/>
    </xf>
    <xf numFmtId="0" fontId="34" fillId="3" borderId="20" xfId="0" applyFont="1" applyFill="1" applyBorder="1" applyAlignment="1">
      <alignment horizontal="center" vertical="center" wrapText="1"/>
    </xf>
    <xf numFmtId="0" fontId="33" fillId="3" borderId="21" xfId="0" applyFont="1" applyFill="1" applyBorder="1" applyAlignment="1">
      <alignment horizontal="center" vertical="center" wrapText="1"/>
    </xf>
    <xf numFmtId="0" fontId="27" fillId="3" borderId="43" xfId="0" applyFont="1" applyFill="1" applyBorder="1" applyAlignment="1">
      <alignment wrapText="1"/>
    </xf>
    <xf numFmtId="3" fontId="28" fillId="3" borderId="23" xfId="0" applyNumberFormat="1" applyFont="1" applyFill="1" applyBorder="1" applyAlignment="1">
      <alignment vertical="center" wrapText="1"/>
    </xf>
    <xf numFmtId="3" fontId="27" fillId="3" borderId="24" xfId="0" applyNumberFormat="1" applyFont="1" applyFill="1" applyBorder="1" applyAlignment="1">
      <alignment vertical="center" wrapText="1"/>
    </xf>
    <xf numFmtId="166" fontId="28" fillId="3" borderId="43" xfId="0" applyNumberFormat="1" applyFont="1" applyFill="1" applyBorder="1" applyAlignment="1">
      <alignment vertical="center" wrapText="1"/>
    </xf>
    <xf numFmtId="166" fontId="28" fillId="3" borderId="23" xfId="0" applyNumberFormat="1" applyFont="1" applyFill="1" applyBorder="1" applyAlignment="1">
      <alignment vertical="center" wrapText="1"/>
    </xf>
    <xf numFmtId="166" fontId="28" fillId="3" borderId="47" xfId="0" applyNumberFormat="1" applyFont="1" applyFill="1" applyBorder="1" applyAlignment="1">
      <alignment vertical="center" wrapText="1"/>
    </xf>
    <xf numFmtId="166" fontId="27" fillId="3" borderId="22" xfId="0" applyNumberFormat="1" applyFont="1" applyFill="1" applyBorder="1" applyAlignment="1">
      <alignment vertical="center" wrapText="1"/>
    </xf>
    <xf numFmtId="166" fontId="27" fillId="3" borderId="23" xfId="0" applyNumberFormat="1" applyFont="1" applyFill="1" applyBorder="1" applyAlignment="1">
      <alignment vertical="center" wrapText="1"/>
    </xf>
    <xf numFmtId="9" fontId="28" fillId="3" borderId="23" xfId="0" applyNumberFormat="1" applyFont="1" applyFill="1" applyBorder="1" applyAlignment="1">
      <alignment vertical="center" wrapText="1"/>
    </xf>
    <xf numFmtId="3" fontId="27" fillId="3" borderId="23" xfId="0" applyNumberFormat="1" applyFont="1" applyFill="1" applyBorder="1" applyAlignment="1">
      <alignment vertical="center" wrapText="1"/>
    </xf>
    <xf numFmtId="0" fontId="28" fillId="3" borderId="23" xfId="0" applyFont="1" applyFill="1" applyBorder="1" applyAlignment="1">
      <alignment vertical="center" wrapText="1"/>
    </xf>
    <xf numFmtId="164" fontId="27" fillId="3" borderId="23" xfId="0" applyNumberFormat="1" applyFont="1" applyFill="1" applyBorder="1" applyAlignment="1">
      <alignment vertical="center" wrapText="1"/>
    </xf>
    <xf numFmtId="165" fontId="28" fillId="3" borderId="23" xfId="0" applyNumberFormat="1" applyFont="1" applyFill="1" applyBorder="1" applyAlignment="1">
      <alignment vertical="center" wrapText="1"/>
    </xf>
    <xf numFmtId="165" fontId="27" fillId="3" borderId="23" xfId="0" applyNumberFormat="1" applyFont="1" applyFill="1" applyBorder="1" applyAlignment="1">
      <alignment vertical="center" wrapText="1"/>
    </xf>
    <xf numFmtId="164" fontId="28" fillId="3" borderId="23" xfId="0" applyNumberFormat="1" applyFont="1" applyFill="1" applyBorder="1" applyAlignment="1">
      <alignment vertical="center" wrapText="1"/>
    </xf>
    <xf numFmtId="164" fontId="27" fillId="3" borderId="24" xfId="0" applyNumberFormat="1" applyFont="1" applyFill="1" applyBorder="1" applyAlignment="1">
      <alignment vertical="center" wrapText="1"/>
    </xf>
    <xf numFmtId="165" fontId="27" fillId="3" borderId="21" xfId="0" applyNumberFormat="1" applyFont="1" applyFill="1" applyBorder="1" applyAlignment="1">
      <alignment vertical="center" wrapText="1"/>
    </xf>
    <xf numFmtId="166" fontId="27" fillId="0" borderId="26" xfId="0" applyNumberFormat="1" applyFont="1" applyFill="1" applyBorder="1" applyAlignment="1">
      <alignment vertical="center" wrapText="1"/>
    </xf>
    <xf numFmtId="166" fontId="27" fillId="0" borderId="1" xfId="0" applyNumberFormat="1" applyFont="1" applyFill="1" applyBorder="1" applyAlignment="1">
      <alignment vertical="center" wrapText="1"/>
    </xf>
    <xf numFmtId="166" fontId="28" fillId="0" borderId="12" xfId="0" applyNumberFormat="1" applyFont="1" applyFill="1" applyBorder="1" applyAlignment="1">
      <alignment vertical="center" wrapText="1"/>
    </xf>
    <xf numFmtId="10" fontId="28" fillId="0" borderId="44" xfId="0" applyNumberFormat="1" applyFont="1" applyFill="1" applyBorder="1" applyAlignment="1">
      <alignment vertical="center" wrapText="1"/>
    </xf>
    <xf numFmtId="10" fontId="28" fillId="0" borderId="11" xfId="0" applyNumberFormat="1" applyFont="1" applyFill="1" applyBorder="1" applyAlignment="1">
      <alignment vertical="center" wrapText="1"/>
    </xf>
    <xf numFmtId="10" fontId="28" fillId="0" borderId="27" xfId="0" applyNumberFormat="1" applyFont="1" applyFill="1" applyBorder="1" applyAlignment="1">
      <alignment vertical="center" wrapText="1"/>
    </xf>
    <xf numFmtId="1" fontId="27" fillId="0" borderId="11" xfId="0" applyNumberFormat="1" applyFont="1" applyFill="1" applyBorder="1" applyAlignment="1">
      <alignment vertical="center" wrapText="1"/>
    </xf>
    <xf numFmtId="1" fontId="27" fillId="0" borderId="12" xfId="0" applyNumberFormat="1" applyFont="1" applyFill="1" applyBorder="1" applyAlignment="1">
      <alignment vertical="center" wrapText="1"/>
    </xf>
    <xf numFmtId="0" fontId="27" fillId="0" borderId="11" xfId="0" applyFont="1" applyFill="1" applyBorder="1" applyAlignment="1">
      <alignment vertical="center" wrapText="1"/>
    </xf>
    <xf numFmtId="0" fontId="27" fillId="0" borderId="12" xfId="0" applyFont="1" applyFill="1" applyBorder="1" applyAlignment="1">
      <alignment vertical="center" wrapText="1"/>
    </xf>
    <xf numFmtId="164" fontId="41" fillId="0" borderId="11" xfId="0" applyNumberFormat="1" applyFont="1" applyFill="1" applyBorder="1" applyAlignment="1">
      <alignment vertical="center" wrapText="1"/>
    </xf>
    <xf numFmtId="164" fontId="41" fillId="0" borderId="12" xfId="0" applyNumberFormat="1" applyFont="1" applyFill="1" applyBorder="1" applyAlignment="1">
      <alignment vertical="center" wrapText="1"/>
    </xf>
    <xf numFmtId="1" fontId="27" fillId="18" borderId="11" xfId="0" applyNumberFormat="1" applyFont="1" applyFill="1" applyBorder="1" applyAlignment="1">
      <alignment vertical="center" wrapText="1"/>
    </xf>
    <xf numFmtId="1" fontId="27" fillId="18" borderId="12" xfId="0" applyNumberFormat="1" applyFont="1" applyFill="1" applyBorder="1" applyAlignment="1">
      <alignment vertical="center" wrapText="1"/>
    </xf>
    <xf numFmtId="0" fontId="27" fillId="18" borderId="11" xfId="0" applyFont="1" applyFill="1" applyBorder="1" applyAlignment="1">
      <alignment vertical="center" wrapText="1"/>
    </xf>
    <xf numFmtId="0" fontId="27" fillId="18" borderId="12" xfId="0" applyFont="1" applyFill="1" applyBorder="1" applyAlignment="1">
      <alignment vertical="center" wrapText="1"/>
    </xf>
    <xf numFmtId="3" fontId="27" fillId="13" borderId="49" xfId="0" applyNumberFormat="1" applyFont="1" applyFill="1" applyBorder="1" applyAlignment="1">
      <alignment vertical="center" wrapText="1"/>
    </xf>
    <xf numFmtId="3" fontId="27" fillId="13" borderId="51" xfId="0" applyNumberFormat="1" applyFont="1" applyFill="1" applyBorder="1" applyAlignment="1">
      <alignment vertical="center" wrapText="1"/>
    </xf>
    <xf numFmtId="166" fontId="27" fillId="13" borderId="32" xfId="0" applyNumberFormat="1" applyFont="1" applyFill="1" applyBorder="1" applyAlignment="1">
      <alignment vertical="center" wrapText="1"/>
    </xf>
    <xf numFmtId="166" fontId="27" fillId="13" borderId="10" xfId="0" applyNumberFormat="1" applyFont="1" applyFill="1" applyBorder="1" applyAlignment="1">
      <alignment vertical="center" wrapText="1"/>
    </xf>
    <xf numFmtId="166" fontId="27" fillId="13" borderId="11" xfId="0" applyNumberFormat="1" applyFont="1" applyFill="1" applyBorder="1" applyAlignment="1">
      <alignment vertical="center" wrapText="1"/>
    </xf>
    <xf numFmtId="166" fontId="27" fillId="13" borderId="12" xfId="0" applyNumberFormat="1" applyFont="1" applyFill="1" applyBorder="1" applyAlignment="1">
      <alignment vertical="center" wrapText="1"/>
    </xf>
    <xf numFmtId="0" fontId="34" fillId="6" borderId="44" xfId="0" applyFont="1" applyFill="1" applyBorder="1" applyAlignment="1">
      <alignment horizontal="center" vertical="center" wrapText="1"/>
    </xf>
    <xf numFmtId="0" fontId="34" fillId="6" borderId="28" xfId="0" applyFont="1" applyFill="1" applyBorder="1" applyAlignment="1">
      <alignment horizontal="center" vertical="center" wrapText="1"/>
    </xf>
    <xf numFmtId="0" fontId="34" fillId="6" borderId="63" xfId="0" applyFont="1" applyFill="1" applyBorder="1" applyAlignment="1">
      <alignment horizontal="center" vertical="center" wrapText="1"/>
    </xf>
    <xf numFmtId="166" fontId="36" fillId="13" borderId="6" xfId="0" applyNumberFormat="1" applyFont="1" applyFill="1" applyBorder="1" applyAlignment="1">
      <alignment vertical="center" wrapText="1"/>
    </xf>
    <xf numFmtId="165" fontId="36" fillId="28" borderId="1" xfId="0" applyNumberFormat="1" applyFont="1" applyFill="1" applyBorder="1" applyAlignment="1">
      <alignment vertical="center" wrapText="1"/>
    </xf>
    <xf numFmtId="165" fontId="36" fillId="28" borderId="26" xfId="0" applyNumberFormat="1" applyFont="1" applyFill="1" applyBorder="1" applyAlignment="1">
      <alignment vertical="center" wrapText="1"/>
    </xf>
    <xf numFmtId="164" fontId="36" fillId="28" borderId="1" xfId="0" applyNumberFormat="1" applyFont="1" applyFill="1" applyBorder="1" applyAlignment="1">
      <alignment vertical="center" wrapText="1"/>
    </xf>
    <xf numFmtId="164" fontId="36" fillId="7" borderId="26" xfId="0" applyNumberFormat="1" applyFont="1" applyFill="1" applyBorder="1" applyAlignment="1">
      <alignment vertical="center" wrapText="1"/>
    </xf>
    <xf numFmtId="164" fontId="36" fillId="7" borderId="1" xfId="0" applyNumberFormat="1" applyFont="1" applyFill="1" applyBorder="1" applyAlignment="1">
      <alignment vertical="center" wrapText="1"/>
    </xf>
    <xf numFmtId="166" fontId="36" fillId="13" borderId="11" xfId="0" applyNumberFormat="1" applyFont="1" applyFill="1" applyBorder="1" applyAlignment="1">
      <alignment horizontal="right" vertical="center" wrapText="1"/>
    </xf>
    <xf numFmtId="0" fontId="34" fillId="5" borderId="7" xfId="0" applyFont="1" applyFill="1" applyBorder="1" applyAlignment="1">
      <alignment horizontal="center" vertical="center" wrapText="1"/>
    </xf>
    <xf numFmtId="0" fontId="34" fillId="5" borderId="28" xfId="0" applyFont="1" applyFill="1" applyBorder="1" applyAlignment="1">
      <alignment horizontal="center" vertical="center" wrapText="1"/>
    </xf>
    <xf numFmtId="0" fontId="34" fillId="5" borderId="6" xfId="0" applyFont="1" applyFill="1" applyBorder="1" applyAlignment="1">
      <alignment horizontal="center" vertical="center" wrapText="1"/>
    </xf>
    <xf numFmtId="0" fontId="27" fillId="27" borderId="21" xfId="0" applyFont="1" applyFill="1" applyBorder="1" applyAlignment="1">
      <alignment horizontal="center" vertical="center" wrapText="1"/>
    </xf>
    <xf numFmtId="0" fontId="27" fillId="27" borderId="18" xfId="0" applyFont="1" applyFill="1" applyBorder="1" applyAlignment="1">
      <alignment horizontal="center" vertical="center" wrapText="1"/>
    </xf>
    <xf numFmtId="0" fontId="27" fillId="27" borderId="19" xfId="0" applyFont="1" applyFill="1" applyBorder="1" applyAlignment="1">
      <alignment horizontal="center" vertical="center" wrapText="1"/>
    </xf>
    <xf numFmtId="0" fontId="27" fillId="27" borderId="35" xfId="0" applyFont="1" applyFill="1" applyBorder="1" applyAlignment="1">
      <alignment horizontal="center" vertical="center" wrapText="1"/>
    </xf>
    <xf numFmtId="0" fontId="60" fillId="3" borderId="38" xfId="0" applyFont="1" applyFill="1" applyBorder="1" applyAlignment="1">
      <alignment horizontal="center" vertical="center" wrapText="1"/>
    </xf>
    <xf numFmtId="0" fontId="60" fillId="3" borderId="39" xfId="0" applyFont="1" applyFill="1" applyBorder="1" applyAlignment="1">
      <alignment horizontal="center" vertical="center" wrapText="1"/>
    </xf>
    <xf numFmtId="0" fontId="33" fillId="3" borderId="20" xfId="0" applyFont="1" applyFill="1" applyBorder="1" applyAlignment="1">
      <alignment horizontal="center" vertical="center" wrapText="1"/>
    </xf>
    <xf numFmtId="0" fontId="33" fillId="3" borderId="9" xfId="0" applyFont="1" applyFill="1" applyBorder="1" applyAlignment="1">
      <alignment horizontal="center" vertical="center" wrapText="1"/>
    </xf>
    <xf numFmtId="0" fontId="27" fillId="27" borderId="15" xfId="0" applyFont="1" applyFill="1" applyBorder="1" applyAlignment="1">
      <alignment horizontal="center" vertical="center" wrapText="1"/>
    </xf>
    <xf numFmtId="0" fontId="27" fillId="27" borderId="34" xfId="0" applyFont="1" applyFill="1" applyBorder="1" applyAlignment="1">
      <alignment horizontal="center" vertical="center" wrapText="1"/>
    </xf>
    <xf numFmtId="0" fontId="20" fillId="6" borderId="21" xfId="0" applyFont="1" applyFill="1" applyBorder="1" applyAlignment="1">
      <alignment horizontal="center" vertical="center" wrapText="1"/>
    </xf>
    <xf numFmtId="0" fontId="27" fillId="6" borderId="36" xfId="0" applyFont="1" applyFill="1" applyBorder="1" applyAlignment="1">
      <alignment horizontal="center" vertical="center" wrapText="1"/>
    </xf>
    <xf numFmtId="0" fontId="27" fillId="6" borderId="35" xfId="0" applyFont="1" applyFill="1" applyBorder="1" applyAlignment="1">
      <alignment horizontal="center" vertical="center" wrapText="1"/>
    </xf>
    <xf numFmtId="166" fontId="37" fillId="13" borderId="23" xfId="0" applyNumberFormat="1" applyFont="1" applyFill="1" applyBorder="1" applyAlignment="1">
      <alignment horizontal="center" vertical="center" wrapText="1"/>
    </xf>
    <xf numFmtId="166" fontId="37" fillId="13" borderId="55" xfId="0" applyNumberFormat="1" applyFont="1" applyFill="1" applyBorder="1" applyAlignment="1">
      <alignment horizontal="center" vertical="center" wrapText="1"/>
    </xf>
    <xf numFmtId="165" fontId="37" fillId="13" borderId="23" xfId="0" applyNumberFormat="1" applyFont="1" applyFill="1" applyBorder="1" applyAlignment="1">
      <alignment horizontal="center" vertical="center" wrapText="1"/>
    </xf>
    <xf numFmtId="165" fontId="37" fillId="13" borderId="55" xfId="0" applyNumberFormat="1" applyFont="1" applyFill="1" applyBorder="1" applyAlignment="1">
      <alignment horizontal="center" vertical="center" wrapText="1"/>
    </xf>
    <xf numFmtId="1" fontId="28" fillId="28" borderId="23" xfId="0" applyNumberFormat="1" applyFont="1" applyFill="1" applyBorder="1" applyAlignment="1">
      <alignment horizontal="center" vertical="center" wrapText="1"/>
    </xf>
    <xf numFmtId="1" fontId="28" fillId="28" borderId="55" xfId="0" applyNumberFormat="1" applyFont="1" applyFill="1" applyBorder="1" applyAlignment="1">
      <alignment horizontal="center" vertical="center" wrapText="1"/>
    </xf>
    <xf numFmtId="0" fontId="44" fillId="0" borderId="0" xfId="0" applyFont="1" applyFill="1" applyBorder="1" applyAlignment="1">
      <alignment horizontal="left" vertical="center" wrapText="1"/>
    </xf>
    <xf numFmtId="0" fontId="62" fillId="6" borderId="65" xfId="0" applyFont="1" applyFill="1" applyBorder="1" applyAlignment="1">
      <alignment horizontal="center" vertical="center" wrapText="1"/>
    </xf>
    <xf numFmtId="0" fontId="62" fillId="6" borderId="67" xfId="0" applyFont="1" applyFill="1" applyBorder="1" applyAlignment="1">
      <alignment horizontal="center" vertical="center" wrapText="1"/>
    </xf>
    <xf numFmtId="0" fontId="17" fillId="0" borderId="0" xfId="0" applyFont="1" applyFill="1" applyBorder="1" applyAlignment="1">
      <alignment horizontal="left" vertical="center" wrapText="1"/>
    </xf>
    <xf numFmtId="0" fontId="16" fillId="0" borderId="0" xfId="0" applyFont="1" applyFill="1" applyBorder="1" applyAlignment="1">
      <alignment horizontal="left" vertical="center" wrapText="1"/>
    </xf>
    <xf numFmtId="0" fontId="9" fillId="3" borderId="20" xfId="0" applyFont="1" applyFill="1" applyBorder="1" applyAlignment="1">
      <alignment horizontal="center" vertical="center" wrapText="1"/>
    </xf>
    <xf numFmtId="0" fontId="9" fillId="3" borderId="21" xfId="0" applyFont="1" applyFill="1" applyBorder="1" applyAlignment="1">
      <alignment horizontal="center" vertical="center" wrapText="1"/>
    </xf>
    <xf numFmtId="0" fontId="62" fillId="6" borderId="37" xfId="0" applyFont="1" applyFill="1" applyBorder="1" applyAlignment="1">
      <alignment horizontal="center" vertical="center" wrapText="1"/>
    </xf>
    <xf numFmtId="0" fontId="62" fillId="6" borderId="66" xfId="0" applyFont="1" applyFill="1" applyBorder="1" applyAlignment="1">
      <alignment horizontal="center" vertical="center" wrapText="1"/>
    </xf>
    <xf numFmtId="0" fontId="62" fillId="6" borderId="8" xfId="0" applyFont="1" applyFill="1" applyBorder="1" applyAlignment="1">
      <alignment horizontal="center" vertical="center" wrapText="1"/>
    </xf>
    <xf numFmtId="0" fontId="62" fillId="6" borderId="17" xfId="0" applyFont="1" applyFill="1" applyBorder="1" applyAlignment="1">
      <alignment horizontal="center" vertical="center" wrapText="1"/>
    </xf>
    <xf numFmtId="0" fontId="62" fillId="6" borderId="60" xfId="0" applyFont="1" applyFill="1" applyBorder="1" applyAlignment="1">
      <alignment horizontal="center" vertical="center" wrapText="1"/>
    </xf>
    <xf numFmtId="0" fontId="62" fillId="6" borderId="36" xfId="0" applyFont="1" applyFill="1" applyBorder="1" applyAlignment="1">
      <alignment horizontal="center" vertical="center" wrapText="1"/>
    </xf>
    <xf numFmtId="0" fontId="62" fillId="6" borderId="15" xfId="0" applyFont="1" applyFill="1" applyBorder="1" applyAlignment="1">
      <alignment horizontal="center" vertical="center" wrapText="1"/>
    </xf>
    <xf numFmtId="0" fontId="62" fillId="6" borderId="19" xfId="0" applyFont="1" applyFill="1" applyBorder="1" applyAlignment="1">
      <alignment horizontal="center" vertical="center" wrapText="1"/>
    </xf>
    <xf numFmtId="0" fontId="27" fillId="23" borderId="21" xfId="0" applyFont="1" applyFill="1" applyBorder="1" applyAlignment="1">
      <alignment horizontal="center" vertical="center" wrapText="1"/>
    </xf>
    <xf numFmtId="0" fontId="27" fillId="23" borderId="18" xfId="0" applyFont="1" applyFill="1" applyBorder="1" applyAlignment="1">
      <alignment horizontal="center" vertical="center" wrapText="1"/>
    </xf>
    <xf numFmtId="1" fontId="28" fillId="0" borderId="23" xfId="0" applyNumberFormat="1" applyFont="1" applyFill="1" applyBorder="1" applyAlignment="1">
      <alignment horizontal="center" vertical="center" wrapText="1"/>
    </xf>
    <xf numFmtId="1" fontId="28" fillId="0" borderId="55" xfId="0" applyNumberFormat="1" applyFont="1" applyFill="1" applyBorder="1" applyAlignment="1">
      <alignment horizontal="center" vertical="center" wrapText="1"/>
    </xf>
    <xf numFmtId="165" fontId="37" fillId="0" borderId="23" xfId="0" applyNumberFormat="1" applyFont="1" applyFill="1" applyBorder="1" applyAlignment="1">
      <alignment horizontal="center" vertical="center" wrapText="1"/>
    </xf>
    <xf numFmtId="165" fontId="37" fillId="0" borderId="55" xfId="0" applyNumberFormat="1" applyFont="1" applyFill="1" applyBorder="1" applyAlignment="1">
      <alignment horizontal="center" vertical="center" wrapText="1"/>
    </xf>
    <xf numFmtId="165" fontId="28" fillId="13" borderId="23" xfId="0" applyNumberFormat="1" applyFont="1" applyFill="1" applyBorder="1" applyAlignment="1">
      <alignment horizontal="center" vertical="center" wrapText="1"/>
    </xf>
    <xf numFmtId="165" fontId="28" fillId="13" borderId="55" xfId="0" applyNumberFormat="1" applyFont="1" applyFill="1" applyBorder="1" applyAlignment="1">
      <alignment horizontal="center" vertical="center" wrapText="1"/>
    </xf>
    <xf numFmtId="0" fontId="27" fillId="12" borderId="21" xfId="0" applyFont="1" applyFill="1" applyBorder="1" applyAlignment="1">
      <alignment horizontal="center" vertical="center" wrapText="1"/>
    </xf>
    <xf numFmtId="0" fontId="27" fillId="12" borderId="18" xfId="0" applyFont="1" applyFill="1" applyBorder="1" applyAlignment="1">
      <alignment horizontal="center" vertical="center" wrapText="1"/>
    </xf>
    <xf numFmtId="0" fontId="45" fillId="18" borderId="38" xfId="0" applyFont="1" applyFill="1" applyBorder="1" applyAlignment="1">
      <alignment horizontal="center" vertical="center"/>
    </xf>
    <xf numFmtId="0" fontId="45" fillId="18" borderId="39" xfId="0" applyFont="1" applyFill="1" applyBorder="1" applyAlignment="1">
      <alignment horizontal="center" vertical="center"/>
    </xf>
    <xf numFmtId="0" fontId="47" fillId="23" borderId="20" xfId="0" applyFont="1" applyFill="1" applyBorder="1" applyAlignment="1">
      <alignment horizontal="center"/>
    </xf>
    <xf numFmtId="0" fontId="47" fillId="23" borderId="34" xfId="0" applyFont="1" applyFill="1" applyBorder="1" applyAlignment="1">
      <alignment horizontal="center"/>
    </xf>
    <xf numFmtId="0" fontId="47" fillId="24" borderId="20" xfId="0" applyFont="1" applyFill="1" applyBorder="1" applyAlignment="1">
      <alignment horizontal="center"/>
    </xf>
    <xf numFmtId="0" fontId="47" fillId="24" borderId="34" xfId="0" applyFont="1" applyFill="1" applyBorder="1" applyAlignment="1">
      <alignment horizontal="center"/>
    </xf>
    <xf numFmtId="0" fontId="47" fillId="21" borderId="20" xfId="0" applyFont="1" applyFill="1" applyBorder="1" applyAlignment="1">
      <alignment horizontal="center"/>
    </xf>
    <xf numFmtId="0" fontId="47" fillId="21" borderId="60" xfId="0" applyFont="1" applyFill="1" applyBorder="1" applyAlignment="1">
      <alignment horizontal="center"/>
    </xf>
    <xf numFmtId="0" fontId="47" fillId="20" borderId="20" xfId="0" applyFont="1" applyFill="1" applyBorder="1" applyAlignment="1">
      <alignment horizontal="center"/>
    </xf>
    <xf numFmtId="0" fontId="47" fillId="20" borderId="34" xfId="0" applyFont="1" applyFill="1" applyBorder="1" applyAlignment="1">
      <alignment horizontal="center"/>
    </xf>
    <xf numFmtId="0" fontId="15" fillId="23" borderId="21" xfId="0" applyFont="1" applyFill="1" applyBorder="1" applyAlignment="1">
      <alignment horizontal="center"/>
    </xf>
    <xf numFmtId="0" fontId="15" fillId="23" borderId="35" xfId="0" applyFont="1" applyFill="1" applyBorder="1" applyAlignment="1">
      <alignment horizontal="center"/>
    </xf>
    <xf numFmtId="0" fontId="15" fillId="24" borderId="21" xfId="0" applyFont="1" applyFill="1" applyBorder="1" applyAlignment="1">
      <alignment horizontal="center"/>
    </xf>
    <xf numFmtId="0" fontId="15" fillId="24" borderId="35" xfId="0" applyFont="1" applyFill="1" applyBorder="1" applyAlignment="1">
      <alignment horizontal="center"/>
    </xf>
    <xf numFmtId="0" fontId="15" fillId="21" borderId="21" xfId="0" applyFont="1" applyFill="1" applyBorder="1" applyAlignment="1">
      <alignment horizontal="center"/>
    </xf>
    <xf numFmtId="0" fontId="15" fillId="21" borderId="36" xfId="0" applyFont="1" applyFill="1" applyBorder="1" applyAlignment="1">
      <alignment horizontal="center"/>
    </xf>
    <xf numFmtId="0" fontId="15" fillId="20" borderId="21" xfId="0" applyFont="1" applyFill="1" applyBorder="1" applyAlignment="1">
      <alignment horizontal="center"/>
    </xf>
    <xf numFmtId="0" fontId="15" fillId="20" borderId="35" xfId="0" applyFont="1" applyFill="1" applyBorder="1" applyAlignment="1">
      <alignment horizontal="center"/>
    </xf>
    <xf numFmtId="0" fontId="45" fillId="14" borderId="20" xfId="0" applyFont="1" applyFill="1" applyBorder="1" applyAlignment="1">
      <alignment horizontal="center" vertical="center"/>
    </xf>
    <xf numFmtId="0" fontId="45" fillId="14" borderId="34" xfId="0" applyFont="1" applyFill="1" applyBorder="1" applyAlignment="1">
      <alignment horizontal="center" vertical="center"/>
    </xf>
    <xf numFmtId="0" fontId="45" fillId="14" borderId="21" xfId="0" applyFont="1" applyFill="1" applyBorder="1" applyAlignment="1">
      <alignment horizontal="center" vertical="center"/>
    </xf>
    <xf numFmtId="0" fontId="45" fillId="14" borderId="35" xfId="0" applyFont="1" applyFill="1" applyBorder="1" applyAlignment="1">
      <alignment horizontal="center" vertical="center"/>
    </xf>
    <xf numFmtId="0" fontId="46" fillId="19" borderId="20" xfId="0" applyNumberFormat="1" applyFont="1" applyFill="1" applyBorder="1" applyAlignment="1">
      <alignment horizontal="center" vertical="center"/>
    </xf>
    <xf numFmtId="0" fontId="46" fillId="19" borderId="34" xfId="0" applyNumberFormat="1" applyFont="1" applyFill="1" applyBorder="1" applyAlignment="1">
      <alignment horizontal="center" vertical="center"/>
    </xf>
    <xf numFmtId="0" fontId="46" fillId="19" borderId="21" xfId="0" applyNumberFormat="1" applyFont="1" applyFill="1" applyBorder="1" applyAlignment="1">
      <alignment horizontal="center" vertical="center"/>
    </xf>
    <xf numFmtId="0" fontId="46" fillId="19" borderId="35" xfId="0" applyNumberFormat="1" applyFont="1" applyFill="1" applyBorder="1" applyAlignment="1">
      <alignment horizontal="center" vertical="center"/>
    </xf>
    <xf numFmtId="0" fontId="45" fillId="15" borderId="20" xfId="0" applyFont="1" applyFill="1" applyBorder="1" applyAlignment="1">
      <alignment horizontal="center" vertical="center"/>
    </xf>
    <xf numFmtId="0" fontId="45" fillId="15" borderId="34" xfId="0" applyFont="1" applyFill="1" applyBorder="1" applyAlignment="1">
      <alignment horizontal="center" vertical="center"/>
    </xf>
    <xf numFmtId="0" fontId="45" fillId="15" borderId="21" xfId="0" applyFont="1" applyFill="1" applyBorder="1" applyAlignment="1">
      <alignment horizontal="center" vertical="center"/>
    </xf>
    <xf numFmtId="0" fontId="45" fillId="15" borderId="35" xfId="0" applyFont="1" applyFill="1" applyBorder="1" applyAlignment="1">
      <alignment horizontal="center" vertical="center"/>
    </xf>
    <xf numFmtId="0" fontId="45" fillId="22" borderId="20" xfId="0" applyFont="1" applyFill="1" applyBorder="1" applyAlignment="1">
      <alignment horizontal="center" vertical="center"/>
    </xf>
    <xf numFmtId="0" fontId="45" fillId="22" borderId="34" xfId="0" applyFont="1" applyFill="1" applyBorder="1" applyAlignment="1">
      <alignment horizontal="center" vertical="center"/>
    </xf>
    <xf numFmtId="0" fontId="45" fillId="22" borderId="21" xfId="0" applyFont="1" applyFill="1" applyBorder="1" applyAlignment="1">
      <alignment horizontal="center" vertical="center"/>
    </xf>
    <xf numFmtId="0" fontId="45" fillId="22" borderId="35" xfId="0" applyFont="1" applyFill="1" applyBorder="1" applyAlignment="1">
      <alignment horizontal="center" vertical="center"/>
    </xf>
    <xf numFmtId="0" fontId="15" fillId="11" borderId="21" xfId="0" applyFont="1" applyFill="1" applyBorder="1" applyAlignment="1">
      <alignment horizontal="center"/>
    </xf>
    <xf numFmtId="0" fontId="15" fillId="11" borderId="35" xfId="0" applyFont="1" applyFill="1" applyBorder="1" applyAlignment="1">
      <alignment horizontal="center"/>
    </xf>
    <xf numFmtId="0" fontId="15" fillId="12" borderId="21" xfId="0" applyFont="1" applyFill="1" applyBorder="1" applyAlignment="1">
      <alignment horizontal="center"/>
    </xf>
    <xf numFmtId="0" fontId="15" fillId="12" borderId="35" xfId="0" applyFont="1" applyFill="1" applyBorder="1" applyAlignment="1">
      <alignment horizontal="center"/>
    </xf>
    <xf numFmtId="0" fontId="45" fillId="16" borderId="20" xfId="0" applyFont="1" applyFill="1" applyBorder="1" applyAlignment="1">
      <alignment horizontal="center" vertical="center"/>
    </xf>
    <xf numFmtId="0" fontId="45" fillId="16" borderId="34" xfId="0" applyFont="1" applyFill="1" applyBorder="1" applyAlignment="1">
      <alignment horizontal="center" vertical="center"/>
    </xf>
    <xf numFmtId="0" fontId="45" fillId="16" borderId="21" xfId="0" applyFont="1" applyFill="1" applyBorder="1" applyAlignment="1">
      <alignment horizontal="center" vertical="center"/>
    </xf>
    <xf numFmtId="0" fontId="45" fillId="16" borderId="35" xfId="0" applyFont="1" applyFill="1" applyBorder="1" applyAlignment="1">
      <alignment horizontal="center" vertical="center"/>
    </xf>
    <xf numFmtId="0" fontId="45" fillId="17" borderId="20" xfId="0" applyFont="1" applyFill="1" applyBorder="1" applyAlignment="1">
      <alignment horizontal="center" vertical="center"/>
    </xf>
    <xf numFmtId="0" fontId="45" fillId="17" borderId="34" xfId="0" applyFont="1" applyFill="1" applyBorder="1" applyAlignment="1">
      <alignment horizontal="center" vertical="center"/>
    </xf>
    <xf numFmtId="0" fontId="45" fillId="17" borderId="21" xfId="0" applyFont="1" applyFill="1" applyBorder="1" applyAlignment="1">
      <alignment horizontal="center" vertical="center"/>
    </xf>
    <xf numFmtId="0" fontId="45" fillId="17" borderId="35" xfId="0" applyFont="1" applyFill="1" applyBorder="1" applyAlignment="1">
      <alignment horizontal="center" vertical="center"/>
    </xf>
    <xf numFmtId="0" fontId="47" fillId="12" borderId="20" xfId="0" applyFont="1" applyFill="1" applyBorder="1" applyAlignment="1">
      <alignment horizontal="center"/>
    </xf>
    <xf numFmtId="0" fontId="47" fillId="12" borderId="34" xfId="0" applyFont="1" applyFill="1" applyBorder="1" applyAlignment="1">
      <alignment horizontal="center"/>
    </xf>
    <xf numFmtId="0" fontId="47" fillId="11" borderId="20" xfId="0" applyFont="1" applyFill="1" applyBorder="1" applyAlignment="1">
      <alignment horizontal="center"/>
    </xf>
    <xf numFmtId="0" fontId="47" fillId="11" borderId="34" xfId="0" applyFont="1" applyFill="1" applyBorder="1" applyAlignment="1">
      <alignment horizontal="center"/>
    </xf>
    <xf numFmtId="0" fontId="47" fillId="25" borderId="20" xfId="0" applyFont="1" applyFill="1" applyBorder="1" applyAlignment="1">
      <alignment horizontal="center"/>
    </xf>
    <xf numFmtId="0" fontId="47" fillId="25" borderId="34" xfId="0" applyFont="1" applyFill="1" applyBorder="1" applyAlignment="1">
      <alignment horizontal="center"/>
    </xf>
    <xf numFmtId="0" fontId="15" fillId="25" borderId="21" xfId="0" applyFont="1" applyFill="1" applyBorder="1" applyAlignment="1">
      <alignment horizontal="center"/>
    </xf>
    <xf numFmtId="0" fontId="15" fillId="25" borderId="35" xfId="0" applyFont="1" applyFill="1" applyBorder="1" applyAlignment="1">
      <alignment horizontal="center"/>
    </xf>
    <xf numFmtId="0" fontId="27" fillId="24" borderId="21" xfId="0" applyFont="1" applyFill="1" applyBorder="1" applyAlignment="1">
      <alignment horizontal="center" vertical="center" wrapText="1"/>
    </xf>
    <xf numFmtId="0" fontId="27" fillId="24" borderId="18" xfId="0" applyFont="1" applyFill="1" applyBorder="1" applyAlignment="1">
      <alignment horizontal="center" vertical="center" wrapText="1"/>
    </xf>
    <xf numFmtId="0" fontId="27" fillId="21" borderId="21" xfId="0" applyFont="1" applyFill="1" applyBorder="1" applyAlignment="1">
      <alignment horizontal="center" vertical="center" wrapText="1"/>
    </xf>
    <xf numFmtId="0" fontId="27" fillId="21" borderId="18" xfId="0" applyFont="1" applyFill="1" applyBorder="1" applyAlignment="1">
      <alignment horizontal="center" vertical="center" wrapText="1"/>
    </xf>
    <xf numFmtId="0" fontId="27" fillId="20" borderId="21" xfId="0" applyFont="1" applyFill="1" applyBorder="1" applyAlignment="1">
      <alignment horizontal="center" vertical="center" wrapText="1"/>
    </xf>
    <xf numFmtId="0" fontId="27" fillId="20" borderId="18" xfId="0" applyFont="1" applyFill="1" applyBorder="1" applyAlignment="1">
      <alignment horizontal="center" vertical="center" wrapText="1"/>
    </xf>
    <xf numFmtId="0" fontId="27" fillId="25" borderId="21" xfId="0" applyFont="1" applyFill="1" applyBorder="1" applyAlignment="1">
      <alignment horizontal="center" vertical="center" wrapText="1"/>
    </xf>
    <xf numFmtId="0" fontId="27" fillId="25" borderId="18" xfId="0" applyFont="1" applyFill="1" applyBorder="1" applyAlignment="1">
      <alignment horizontal="center" vertical="center" wrapText="1"/>
    </xf>
  </cellXfs>
  <cellStyles count="2">
    <cellStyle name="Hyperlink" xfId="1" builtinId="8"/>
    <cellStyle name="Standard" xfId="0" builtinId="0"/>
  </cellStyles>
  <dxfs count="60">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fgColor indexed="64"/>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s>
  <tableStyles count="0" defaultTableStyle="TableStyleMedium2" defaultPivotStyle="PivotStyleLight16"/>
  <colors>
    <mruColors>
      <color rgb="FF66FFCC"/>
      <color rgb="FFCC66FF"/>
      <color rgb="FF6DC71B"/>
      <color rgb="FFF6FFC8"/>
      <color rgb="FFE7FF6E"/>
      <color rgb="FF8A3CC4"/>
      <color rgb="FF8AD6B4"/>
      <color rgb="FF59A216"/>
      <color rgb="FFF7DB31"/>
      <color rgb="FFA365D1"/>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User</c:v>
          </c:tx>
          <c:spPr>
            <a:solidFill>
              <a:schemeClr val="tx2">
                <a:lumMod val="60000"/>
                <a:lumOff val="40000"/>
              </a:schemeClr>
            </a:solidFill>
          </c:spPr>
          <c:invertIfNegative val="0"/>
          <c:cat>
            <c:strRef>
              <c:f>'Result of your Estimation'!$B$260:$I$260</c:f>
              <c:strCache>
                <c:ptCount val="8"/>
                <c:pt idx="0">
                  <c:v>Q1 2020</c:v>
                </c:pt>
                <c:pt idx="1">
                  <c:v>Q2 2020</c:v>
                </c:pt>
                <c:pt idx="2">
                  <c:v>Q3 2020</c:v>
                </c:pt>
                <c:pt idx="3">
                  <c:v>Q4 2020</c:v>
                </c:pt>
                <c:pt idx="4">
                  <c:v>Q1 2021</c:v>
                </c:pt>
                <c:pt idx="5">
                  <c:v>Q2 2021</c:v>
                </c:pt>
                <c:pt idx="6">
                  <c:v>Q3 2021</c:v>
                </c:pt>
                <c:pt idx="7">
                  <c:v>Q4 2021</c:v>
                </c:pt>
              </c:strCache>
            </c:strRef>
          </c:cat>
          <c:val>
            <c:numRef>
              <c:f>('Result of your Estimation'!$F$18:$I$18,'Result of your Estimation'!$K$18:$N$18)</c:f>
              <c:numCache>
                <c:formatCode>#,##0</c:formatCode>
                <c:ptCount val="8"/>
                <c:pt idx="0">
                  <c:v>2145.8582625345584</c:v>
                </c:pt>
                <c:pt idx="1">
                  <c:v>5121.5262502734549</c:v>
                </c:pt>
                <c:pt idx="2">
                  <c:v>16788.133159824825</c:v>
                </c:pt>
                <c:pt idx="3">
                  <c:v>26787.965261703415</c:v>
                </c:pt>
                <c:pt idx="4">
                  <c:v>33454.614067940536</c:v>
                </c:pt>
                <c:pt idx="5">
                  <c:v>38454.597338960601</c:v>
                </c:pt>
                <c:pt idx="6">
                  <c:v>38454.597338960601</c:v>
                </c:pt>
                <c:pt idx="7">
                  <c:v>38454.597338960601</c:v>
                </c:pt>
              </c:numCache>
            </c:numRef>
          </c:val>
        </c:ser>
        <c:ser>
          <c:idx val="1"/>
          <c:order val="1"/>
          <c:tx>
            <c:v>Income</c:v>
          </c:tx>
          <c:spPr>
            <a:solidFill>
              <a:srgbClr val="6DC71B"/>
            </a:solidFill>
          </c:spPr>
          <c:invertIfNegative val="0"/>
          <c:cat>
            <c:strRef>
              <c:f>'Result of your Estimation'!$B$260:$I$260</c:f>
              <c:strCache>
                <c:ptCount val="8"/>
                <c:pt idx="0">
                  <c:v>Q1 2020</c:v>
                </c:pt>
                <c:pt idx="1">
                  <c:v>Q2 2020</c:v>
                </c:pt>
                <c:pt idx="2">
                  <c:v>Q3 2020</c:v>
                </c:pt>
                <c:pt idx="3">
                  <c:v>Q4 2020</c:v>
                </c:pt>
                <c:pt idx="4">
                  <c:v>Q1 2021</c:v>
                </c:pt>
                <c:pt idx="5">
                  <c:v>Q2 2021</c:v>
                </c:pt>
                <c:pt idx="6">
                  <c:v>Q3 2021</c:v>
                </c:pt>
                <c:pt idx="7">
                  <c:v>Q4 2021</c:v>
                </c:pt>
              </c:strCache>
            </c:strRef>
          </c:cat>
          <c:val>
            <c:numRef>
              <c:f>('Result of your Estimation'!$F$30:$I$30,'Result of your Estimation'!$K$30:$N$30)</c:f>
              <c:numCache>
                <c:formatCode>#,##0\ "€"</c:formatCode>
                <c:ptCount val="8"/>
                <c:pt idx="0">
                  <c:v>0</c:v>
                </c:pt>
                <c:pt idx="1">
                  <c:v>0</c:v>
                </c:pt>
                <c:pt idx="2">
                  <c:v>0</c:v>
                </c:pt>
                <c:pt idx="3">
                  <c:v>0</c:v>
                </c:pt>
                <c:pt idx="4">
                  <c:v>0</c:v>
                </c:pt>
                <c:pt idx="5">
                  <c:v>0</c:v>
                </c:pt>
                <c:pt idx="6">
                  <c:v>0</c:v>
                </c:pt>
                <c:pt idx="7">
                  <c:v>0</c:v>
                </c:pt>
              </c:numCache>
            </c:numRef>
          </c:val>
        </c:ser>
        <c:ser>
          <c:idx val="2"/>
          <c:order val="2"/>
          <c:tx>
            <c:v>Expenses</c:v>
          </c:tx>
          <c:spPr>
            <a:solidFill>
              <a:srgbClr val="FF0000"/>
            </a:solidFill>
          </c:spPr>
          <c:invertIfNegative val="0"/>
          <c:cat>
            <c:strRef>
              <c:f>'Result of your Estimation'!$B$260:$I$260</c:f>
              <c:strCache>
                <c:ptCount val="8"/>
                <c:pt idx="0">
                  <c:v>Q1 2020</c:v>
                </c:pt>
                <c:pt idx="1">
                  <c:v>Q2 2020</c:v>
                </c:pt>
                <c:pt idx="2">
                  <c:v>Q3 2020</c:v>
                </c:pt>
                <c:pt idx="3">
                  <c:v>Q4 2020</c:v>
                </c:pt>
                <c:pt idx="4">
                  <c:v>Q1 2021</c:v>
                </c:pt>
                <c:pt idx="5">
                  <c:v>Q2 2021</c:v>
                </c:pt>
                <c:pt idx="6">
                  <c:v>Q3 2021</c:v>
                </c:pt>
                <c:pt idx="7">
                  <c:v>Q4 2021</c:v>
                </c:pt>
              </c:strCache>
            </c:strRef>
          </c:cat>
          <c:val>
            <c:numRef>
              <c:f>('Result of your Estimation'!$F$47:$I$47,'Result of your Estimation'!$K$47:$N$47)</c:f>
              <c:numCache>
                <c:formatCode>#,##0\ "€"</c:formatCode>
                <c:ptCount val="8"/>
                <c:pt idx="0">
                  <c:v>126682.37574787604</c:v>
                </c:pt>
                <c:pt idx="1">
                  <c:v>158768.6457875082</c:v>
                </c:pt>
                <c:pt idx="2">
                  <c:v>154112.64399479475</c:v>
                </c:pt>
                <c:pt idx="3">
                  <c:v>144412.6389578511</c:v>
                </c:pt>
                <c:pt idx="4">
                  <c:v>154612.63842203823</c:v>
                </c:pt>
                <c:pt idx="5">
                  <c:v>139762.63792016881</c:v>
                </c:pt>
                <c:pt idx="6">
                  <c:v>139762.63792016881</c:v>
                </c:pt>
                <c:pt idx="7">
                  <c:v>139762.63792016881</c:v>
                </c:pt>
              </c:numCache>
            </c:numRef>
          </c:val>
        </c:ser>
        <c:ser>
          <c:idx val="3"/>
          <c:order val="3"/>
          <c:tx>
            <c:v>Result</c:v>
          </c:tx>
          <c:spPr>
            <a:solidFill>
              <a:srgbClr val="FFC000"/>
            </a:solidFill>
          </c:spPr>
          <c:invertIfNegative val="0"/>
          <c:cat>
            <c:strRef>
              <c:f>'Result of your Estimation'!$B$260:$I$260</c:f>
              <c:strCache>
                <c:ptCount val="8"/>
                <c:pt idx="0">
                  <c:v>Q1 2020</c:v>
                </c:pt>
                <c:pt idx="1">
                  <c:v>Q2 2020</c:v>
                </c:pt>
                <c:pt idx="2">
                  <c:v>Q3 2020</c:v>
                </c:pt>
                <c:pt idx="3">
                  <c:v>Q4 2020</c:v>
                </c:pt>
                <c:pt idx="4">
                  <c:v>Q1 2021</c:v>
                </c:pt>
                <c:pt idx="5">
                  <c:v>Q2 2021</c:v>
                </c:pt>
                <c:pt idx="6">
                  <c:v>Q3 2021</c:v>
                </c:pt>
                <c:pt idx="7">
                  <c:v>Q4 2021</c:v>
                </c:pt>
              </c:strCache>
            </c:strRef>
          </c:cat>
          <c:val>
            <c:numRef>
              <c:f>('Result of your Estimation'!$F$49:$I$49,'Result of your Estimation'!$K$49:$N$49)</c:f>
              <c:numCache>
                <c:formatCode>#,##0\ "€"</c:formatCode>
                <c:ptCount val="8"/>
                <c:pt idx="0">
                  <c:v>-126682.37574787604</c:v>
                </c:pt>
                <c:pt idx="1">
                  <c:v>-158768.6457875082</c:v>
                </c:pt>
                <c:pt idx="2">
                  <c:v>-154112.64399479475</c:v>
                </c:pt>
                <c:pt idx="3">
                  <c:v>-144412.6389578511</c:v>
                </c:pt>
                <c:pt idx="4">
                  <c:v>-154612.63842203823</c:v>
                </c:pt>
                <c:pt idx="5">
                  <c:v>-139762.63792016881</c:v>
                </c:pt>
                <c:pt idx="6">
                  <c:v>-139762.63792016881</c:v>
                </c:pt>
                <c:pt idx="7">
                  <c:v>-139762.63792016881</c:v>
                </c:pt>
              </c:numCache>
            </c:numRef>
          </c:val>
        </c:ser>
        <c:dLbls>
          <c:showLegendKey val="0"/>
          <c:showVal val="0"/>
          <c:showCatName val="0"/>
          <c:showSerName val="0"/>
          <c:showPercent val="0"/>
          <c:showBubbleSize val="0"/>
        </c:dLbls>
        <c:gapWidth val="150"/>
        <c:axId val="80377856"/>
        <c:axId val="42786112"/>
      </c:barChart>
      <c:catAx>
        <c:axId val="80377856"/>
        <c:scaling>
          <c:orientation val="minMax"/>
        </c:scaling>
        <c:delete val="0"/>
        <c:axPos val="b"/>
        <c:majorTickMark val="out"/>
        <c:minorTickMark val="none"/>
        <c:tickLblPos val="nextTo"/>
        <c:crossAx val="42786112"/>
        <c:crosses val="autoZero"/>
        <c:auto val="1"/>
        <c:lblAlgn val="ctr"/>
        <c:lblOffset val="100"/>
        <c:noMultiLvlLbl val="0"/>
      </c:catAx>
      <c:valAx>
        <c:axId val="42786112"/>
        <c:scaling>
          <c:orientation val="minMax"/>
        </c:scaling>
        <c:delete val="0"/>
        <c:axPos val="l"/>
        <c:majorGridlines/>
        <c:numFmt formatCode="#,##0" sourceLinked="1"/>
        <c:majorTickMark val="out"/>
        <c:minorTickMark val="none"/>
        <c:tickLblPos val="nextTo"/>
        <c:crossAx val="80377856"/>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val>
            <c:numRef>
              <c:f>'Comparision successful Networks'!$C$5:$C$20</c:f>
              <c:numCache>
                <c:formatCode>General</c:formatCode>
                <c:ptCount val="16"/>
                <c:pt idx="0">
                  <c:v>1</c:v>
                </c:pt>
                <c:pt idx="1">
                  <c:v>6</c:v>
                </c:pt>
                <c:pt idx="2">
                  <c:v>12</c:v>
                </c:pt>
                <c:pt idx="3">
                  <c:v>58</c:v>
                </c:pt>
                <c:pt idx="4">
                  <c:v>145</c:v>
                </c:pt>
                <c:pt idx="5">
                  <c:v>360</c:v>
                </c:pt>
                <c:pt idx="6">
                  <c:v>608</c:v>
                </c:pt>
                <c:pt idx="7">
                  <c:v>845</c:v>
                </c:pt>
                <c:pt idx="8">
                  <c:v>1056</c:v>
                </c:pt>
                <c:pt idx="9">
                  <c:v>1230</c:v>
                </c:pt>
                <c:pt idx="10">
                  <c:v>1393</c:v>
                </c:pt>
                <c:pt idx="11">
                  <c:v>1591</c:v>
                </c:pt>
                <c:pt idx="12">
                  <c:v>1860</c:v>
                </c:pt>
                <c:pt idx="13">
                  <c:v>2072</c:v>
                </c:pt>
                <c:pt idx="14">
                  <c:v>2250</c:v>
                </c:pt>
                <c:pt idx="15">
                  <c:v>2450</c:v>
                </c:pt>
              </c:numCache>
            </c:numRef>
          </c:val>
          <c:smooth val="0"/>
        </c:ser>
        <c:ser>
          <c:idx val="1"/>
          <c:order val="1"/>
          <c:tx>
            <c:v>WhatsApp</c:v>
          </c:tx>
          <c:spPr>
            <a:ln>
              <a:solidFill>
                <a:srgbClr val="7030A0"/>
              </a:solidFill>
            </a:ln>
          </c:spPr>
          <c:marker>
            <c:symbol val="none"/>
          </c:marker>
          <c:val>
            <c:numRef>
              <c:f>'Comparision successful Networks'!$E$9:$E$18</c:f>
              <c:numCache>
                <c:formatCode>General</c:formatCode>
                <c:ptCount val="10"/>
                <c:pt idx="0">
                  <c:v>0.01</c:v>
                </c:pt>
                <c:pt idx="1">
                  <c:v>0.25</c:v>
                </c:pt>
                <c:pt idx="2">
                  <c:v>5</c:v>
                </c:pt>
                <c:pt idx="3">
                  <c:v>35</c:v>
                </c:pt>
                <c:pt idx="4">
                  <c:v>150</c:v>
                </c:pt>
                <c:pt idx="5">
                  <c:v>400</c:v>
                </c:pt>
                <c:pt idx="6">
                  <c:v>600</c:v>
                </c:pt>
                <c:pt idx="7">
                  <c:v>900</c:v>
                </c:pt>
                <c:pt idx="8">
                  <c:v>1000</c:v>
                </c:pt>
                <c:pt idx="9">
                  <c:v>1500</c:v>
                </c:pt>
              </c:numCache>
            </c:numRef>
          </c:val>
          <c:smooth val="0"/>
        </c:ser>
        <c:ser>
          <c:idx val="2"/>
          <c:order val="2"/>
          <c:tx>
            <c:v>WeChat</c:v>
          </c:tx>
          <c:spPr>
            <a:ln>
              <a:solidFill>
                <a:srgbClr val="FF0000"/>
              </a:solidFill>
            </a:ln>
          </c:spPr>
          <c:marker>
            <c:symbol val="none"/>
          </c:marker>
          <c:val>
            <c:numRef>
              <c:f>'Comparision successful Networks'!$G$12:$G$20</c:f>
              <c:numCache>
                <c:formatCode>General</c:formatCode>
                <c:ptCount val="9"/>
                <c:pt idx="0">
                  <c:v>50</c:v>
                </c:pt>
                <c:pt idx="1">
                  <c:v>160</c:v>
                </c:pt>
                <c:pt idx="2">
                  <c:v>355</c:v>
                </c:pt>
                <c:pt idx="3">
                  <c:v>500</c:v>
                </c:pt>
                <c:pt idx="4">
                  <c:v>697</c:v>
                </c:pt>
                <c:pt idx="5">
                  <c:v>889</c:v>
                </c:pt>
                <c:pt idx="6">
                  <c:v>980</c:v>
                </c:pt>
                <c:pt idx="7">
                  <c:v>1100</c:v>
                </c:pt>
                <c:pt idx="8">
                  <c:v>1160</c:v>
                </c:pt>
              </c:numCache>
            </c:numRef>
          </c:val>
          <c:smooth val="0"/>
        </c:ser>
        <c:ser>
          <c:idx val="3"/>
          <c:order val="3"/>
          <c:tx>
            <c:v>Instagram</c:v>
          </c:tx>
          <c:spPr>
            <a:ln>
              <a:solidFill>
                <a:srgbClr val="FFC000"/>
              </a:solidFill>
            </a:ln>
          </c:spPr>
          <c:marker>
            <c:symbol val="none"/>
          </c:marker>
          <c:val>
            <c:numRef>
              <c:f>'Comparision successful Networks'!$I$11:$I$19</c:f>
              <c:numCache>
                <c:formatCode>General</c:formatCode>
                <c:ptCount val="9"/>
                <c:pt idx="0">
                  <c:v>1</c:v>
                </c:pt>
                <c:pt idx="1">
                  <c:v>10</c:v>
                </c:pt>
                <c:pt idx="2">
                  <c:v>80</c:v>
                </c:pt>
                <c:pt idx="3">
                  <c:v>150</c:v>
                </c:pt>
                <c:pt idx="4">
                  <c:v>300</c:v>
                </c:pt>
                <c:pt idx="5">
                  <c:v>400</c:v>
                </c:pt>
                <c:pt idx="6">
                  <c:v>600</c:v>
                </c:pt>
                <c:pt idx="7">
                  <c:v>800</c:v>
                </c:pt>
                <c:pt idx="8">
                  <c:v>1000</c:v>
                </c:pt>
              </c:numCache>
            </c:numRef>
          </c:val>
          <c:smooth val="0"/>
        </c:ser>
        <c:ser>
          <c:idx val="4"/>
          <c:order val="4"/>
          <c:tx>
            <c:v>LinkedIn</c:v>
          </c:tx>
          <c:spPr>
            <a:ln>
              <a:solidFill>
                <a:schemeClr val="accent5">
                  <a:lumMod val="75000"/>
                </a:schemeClr>
              </a:solidFill>
            </a:ln>
          </c:spPr>
          <c:marker>
            <c:symbol val="none"/>
          </c:marker>
          <c:val>
            <c:numRef>
              <c:f>'Comparision successful Networks'!$K$4:$K$16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val>
            <c:numRef>
              <c:f>'Comparision successful Networks'!$M$7:$M$17</c:f>
              <c:numCache>
                <c:formatCode>General</c:formatCode>
                <c:ptCount val="11"/>
                <c:pt idx="0">
                  <c:v>1.6E-2</c:v>
                </c:pt>
                <c:pt idx="1">
                  <c:v>0.70199999999999996</c:v>
                </c:pt>
                <c:pt idx="2">
                  <c:v>4</c:v>
                </c:pt>
                <c:pt idx="3">
                  <c:v>18</c:v>
                </c:pt>
                <c:pt idx="4">
                  <c:v>54</c:v>
                </c:pt>
                <c:pt idx="5">
                  <c:v>117</c:v>
                </c:pt>
                <c:pt idx="6">
                  <c:v>185</c:v>
                </c:pt>
                <c:pt idx="7">
                  <c:v>241</c:v>
                </c:pt>
                <c:pt idx="8">
                  <c:v>288</c:v>
                </c:pt>
                <c:pt idx="9">
                  <c:v>305</c:v>
                </c:pt>
                <c:pt idx="10">
                  <c:v>319</c:v>
                </c:pt>
              </c:numCache>
            </c:numRef>
          </c:val>
          <c:smooth val="0"/>
        </c:ser>
        <c:ser>
          <c:idx val="6"/>
          <c:order val="6"/>
          <c:tx>
            <c:v>connect (Realistic)</c:v>
          </c:tx>
          <c:spPr>
            <a:ln>
              <a:solidFill>
                <a:srgbClr val="6DC71B"/>
              </a:solidFill>
            </a:ln>
          </c:spPr>
          <c:marker>
            <c:symbol val="none"/>
          </c:marker>
          <c:val>
            <c:numRef>
              <c:f>'Comparision successful Networks'!$Q$21:$Q$26</c:f>
              <c:numCache>
                <c:formatCode>#,##0.00</c:formatCode>
                <c:ptCount val="6"/>
                <c:pt idx="0">
                  <c:v>5.5007231534220366E-2</c:v>
                </c:pt>
                <c:pt idx="1">
                  <c:v>0.26211723812496734</c:v>
                </c:pt>
                <c:pt idx="2">
                  <c:v>2.0163530394777931</c:v>
                </c:pt>
                <c:pt idx="3">
                  <c:v>5.8912056794336474</c:v>
                </c:pt>
                <c:pt idx="4">
                  <c:v>14.010941670429698</c:v>
                </c:pt>
                <c:pt idx="5">
                  <c:v>25.294677306404136</c:v>
                </c:pt>
              </c:numCache>
            </c:numRef>
          </c:val>
          <c:smooth val="0"/>
        </c:ser>
        <c:ser>
          <c:idx val="7"/>
          <c:order val="7"/>
          <c:tx>
            <c:v>connect (You)</c:v>
          </c:tx>
          <c:spPr>
            <a:ln>
              <a:solidFill>
                <a:schemeClr val="accent6">
                  <a:lumMod val="75000"/>
                </a:schemeClr>
              </a:solidFill>
            </a:ln>
          </c:spPr>
          <c:marker>
            <c:symbol val="none"/>
          </c:marker>
          <c:val>
            <c:numRef>
              <c:f>'Comparision successful Networks'!$O$21:$O$26</c:f>
              <c:numCache>
                <c:formatCode>#,##0.00</c:formatCode>
                <c:ptCount val="6"/>
                <c:pt idx="0">
                  <c:v>2.6787965261703416E-2</c:v>
                </c:pt>
                <c:pt idx="1">
                  <c:v>3.8454597338960603E-2</c:v>
                </c:pt>
                <c:pt idx="2">
                  <c:v>3.8454597338960603E-2</c:v>
                </c:pt>
                <c:pt idx="3">
                  <c:v>3.8454597338960603E-2</c:v>
                </c:pt>
                <c:pt idx="4">
                  <c:v>3.8454597338960603E-2</c:v>
                </c:pt>
                <c:pt idx="5">
                  <c:v>3.8454597338960603E-2</c:v>
                </c:pt>
              </c:numCache>
            </c:numRef>
          </c:val>
          <c:smooth val="0"/>
        </c:ser>
        <c:dLbls>
          <c:showLegendKey val="0"/>
          <c:showVal val="0"/>
          <c:showCatName val="0"/>
          <c:showSerName val="0"/>
          <c:showPercent val="0"/>
          <c:showBubbleSize val="0"/>
        </c:dLbls>
        <c:marker val="1"/>
        <c:smooth val="0"/>
        <c:axId val="174909952"/>
        <c:axId val="170497664"/>
      </c:lineChart>
      <c:catAx>
        <c:axId val="174909952"/>
        <c:scaling>
          <c:orientation val="minMax"/>
        </c:scaling>
        <c:delete val="0"/>
        <c:axPos val="b"/>
        <c:numFmt formatCode="General" sourceLinked="1"/>
        <c:majorTickMark val="out"/>
        <c:minorTickMark val="none"/>
        <c:tickLblPos val="nextTo"/>
        <c:crossAx val="170497664"/>
        <c:crosses val="autoZero"/>
        <c:auto val="1"/>
        <c:lblAlgn val="ctr"/>
        <c:lblOffset val="100"/>
        <c:noMultiLvlLbl val="0"/>
      </c:catAx>
      <c:valAx>
        <c:axId val="170497664"/>
        <c:scaling>
          <c:orientation val="minMax"/>
        </c:scaling>
        <c:delete val="0"/>
        <c:axPos val="l"/>
        <c:majorGridlines/>
        <c:numFmt formatCode="General" sourceLinked="1"/>
        <c:majorTickMark val="out"/>
        <c:minorTickMark val="none"/>
        <c:tickLblPos val="nextTo"/>
        <c:crossAx val="174909952"/>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User</c:v>
          </c:tx>
          <c:spPr>
            <a:solidFill>
              <a:schemeClr val="tx2">
                <a:lumMod val="60000"/>
                <a:lumOff val="40000"/>
              </a:schemeClr>
            </a:solidFill>
          </c:spPr>
          <c:invertIfNegative val="0"/>
          <c:cat>
            <c:strRef>
              <c:f>Realistic!$B$260:$I$260</c:f>
              <c:strCache>
                <c:ptCount val="8"/>
                <c:pt idx="0">
                  <c:v>Q1 2020</c:v>
                </c:pt>
                <c:pt idx="1">
                  <c:v>Q2 2020</c:v>
                </c:pt>
                <c:pt idx="2">
                  <c:v>Q3 2020</c:v>
                </c:pt>
                <c:pt idx="3">
                  <c:v>Q4 2020</c:v>
                </c:pt>
                <c:pt idx="4">
                  <c:v>Q1 2021</c:v>
                </c:pt>
                <c:pt idx="5">
                  <c:v>Q2 2021</c:v>
                </c:pt>
                <c:pt idx="6">
                  <c:v>Q3 2021</c:v>
                </c:pt>
                <c:pt idx="7">
                  <c:v>Q4 2021</c:v>
                </c:pt>
              </c:strCache>
            </c:strRef>
          </c:cat>
          <c:val>
            <c:numRef>
              <c:f>(Realistic!$F$18:$I$18,Realistic!$K$18:$N$18)</c:f>
              <c:numCache>
                <c:formatCode>#,##0</c:formatCode>
                <c:ptCount val="8"/>
                <c:pt idx="0">
                  <c:v>2145.2140738464004</c:v>
                </c:pt>
                <c:pt idx="1">
                  <c:v>5119.0141529075154</c:v>
                </c:pt>
                <c:pt idx="2">
                  <c:v>27942.734019535787</c:v>
                </c:pt>
                <c:pt idx="3">
                  <c:v>55007.231534220366</c:v>
                </c:pt>
                <c:pt idx="4">
                  <c:v>85023.52850812026</c:v>
                </c:pt>
                <c:pt idx="5">
                  <c:v>123038.11087883086</c:v>
                </c:pt>
                <c:pt idx="6">
                  <c:v>174250.13247158632</c:v>
                </c:pt>
                <c:pt idx="7">
                  <c:v>262117.23812496735</c:v>
                </c:pt>
              </c:numCache>
            </c:numRef>
          </c:val>
        </c:ser>
        <c:ser>
          <c:idx val="1"/>
          <c:order val="1"/>
          <c:tx>
            <c:v>Income</c:v>
          </c:tx>
          <c:spPr>
            <a:solidFill>
              <a:srgbClr val="6DC71B"/>
            </a:solidFill>
          </c:spPr>
          <c:invertIfNegative val="0"/>
          <c:cat>
            <c:strRef>
              <c:f>Realistic!$B$260:$I$260</c:f>
              <c:strCache>
                <c:ptCount val="8"/>
                <c:pt idx="0">
                  <c:v>Q1 2020</c:v>
                </c:pt>
                <c:pt idx="1">
                  <c:v>Q2 2020</c:v>
                </c:pt>
                <c:pt idx="2">
                  <c:v>Q3 2020</c:v>
                </c:pt>
                <c:pt idx="3">
                  <c:v>Q4 2020</c:v>
                </c:pt>
                <c:pt idx="4">
                  <c:v>Q1 2021</c:v>
                </c:pt>
                <c:pt idx="5">
                  <c:v>Q2 2021</c:v>
                </c:pt>
                <c:pt idx="6">
                  <c:v>Q3 2021</c:v>
                </c:pt>
                <c:pt idx="7">
                  <c:v>Q4 2021</c:v>
                </c:pt>
              </c:strCache>
            </c:strRef>
          </c:cat>
          <c:val>
            <c:numRef>
              <c:f>(Realistic!$F$30:$I$30,Realistic!$K$30:$N$30)</c:f>
              <c:numCache>
                <c:formatCode>#,##0\ "€"</c:formatCode>
                <c:ptCount val="8"/>
                <c:pt idx="0">
                  <c:v>0</c:v>
                </c:pt>
                <c:pt idx="1">
                  <c:v>0</c:v>
                </c:pt>
                <c:pt idx="2">
                  <c:v>17993.912384890558</c:v>
                </c:pt>
                <c:pt idx="3">
                  <c:v>97389.270813391558</c:v>
                </c:pt>
                <c:pt idx="4">
                  <c:v>202157.57184568781</c:v>
                </c:pt>
                <c:pt idx="5">
                  <c:v>413781.12755369837</c:v>
                </c:pt>
                <c:pt idx="6">
                  <c:v>754137.60989572306</c:v>
                </c:pt>
                <c:pt idx="7">
                  <c:v>1360352.5349712914</c:v>
                </c:pt>
              </c:numCache>
            </c:numRef>
          </c:val>
        </c:ser>
        <c:ser>
          <c:idx val="2"/>
          <c:order val="2"/>
          <c:tx>
            <c:v>Expenses</c:v>
          </c:tx>
          <c:spPr>
            <a:solidFill>
              <a:srgbClr val="FF0000"/>
            </a:solidFill>
          </c:spPr>
          <c:invertIfNegative val="0"/>
          <c:cat>
            <c:strRef>
              <c:f>Realistic!$B$260:$I$260</c:f>
              <c:strCache>
                <c:ptCount val="8"/>
                <c:pt idx="0">
                  <c:v>Q1 2020</c:v>
                </c:pt>
                <c:pt idx="1">
                  <c:v>Q2 2020</c:v>
                </c:pt>
                <c:pt idx="2">
                  <c:v>Q3 2020</c:v>
                </c:pt>
                <c:pt idx="3">
                  <c:v>Q4 2020</c:v>
                </c:pt>
                <c:pt idx="4">
                  <c:v>Q1 2021</c:v>
                </c:pt>
                <c:pt idx="5">
                  <c:v>Q2 2021</c:v>
                </c:pt>
                <c:pt idx="6">
                  <c:v>Q3 2021</c:v>
                </c:pt>
                <c:pt idx="7">
                  <c:v>Q4 2021</c:v>
                </c:pt>
              </c:strCache>
            </c:strRef>
          </c:cat>
          <c:val>
            <c:numRef>
              <c:f>(Realistic!$F$47:$I$47,Realistic!$K$47:$N$47)</c:f>
              <c:numCache>
                <c:formatCode>#,##0\ "€"</c:formatCode>
                <c:ptCount val="8"/>
                <c:pt idx="0">
                  <c:v>126682.35642221538</c:v>
                </c:pt>
                <c:pt idx="1">
                  <c:v>158768.57042458723</c:v>
                </c:pt>
                <c:pt idx="2">
                  <c:v>162742.47563002061</c:v>
                </c:pt>
                <c:pt idx="3">
                  <c:v>186172.23379109518</c:v>
                </c:pt>
                <c:pt idx="4">
                  <c:v>276868.21632011927</c:v>
                </c:pt>
                <c:pt idx="5">
                  <c:v>384038.8888008545</c:v>
                </c:pt>
                <c:pt idx="6">
                  <c:v>610207.61815712356</c:v>
                </c:pt>
                <c:pt idx="7">
                  <c:v>990691.52804188093</c:v>
                </c:pt>
              </c:numCache>
            </c:numRef>
          </c:val>
        </c:ser>
        <c:ser>
          <c:idx val="3"/>
          <c:order val="3"/>
          <c:tx>
            <c:v>Result</c:v>
          </c:tx>
          <c:spPr>
            <a:solidFill>
              <a:srgbClr val="FFC000"/>
            </a:solidFill>
          </c:spPr>
          <c:invertIfNegative val="0"/>
          <c:cat>
            <c:strRef>
              <c:f>Realistic!$B$260:$I$260</c:f>
              <c:strCache>
                <c:ptCount val="8"/>
                <c:pt idx="0">
                  <c:v>Q1 2020</c:v>
                </c:pt>
                <c:pt idx="1">
                  <c:v>Q2 2020</c:v>
                </c:pt>
                <c:pt idx="2">
                  <c:v>Q3 2020</c:v>
                </c:pt>
                <c:pt idx="3">
                  <c:v>Q4 2020</c:v>
                </c:pt>
                <c:pt idx="4">
                  <c:v>Q1 2021</c:v>
                </c:pt>
                <c:pt idx="5">
                  <c:v>Q2 2021</c:v>
                </c:pt>
                <c:pt idx="6">
                  <c:v>Q3 2021</c:v>
                </c:pt>
                <c:pt idx="7">
                  <c:v>Q4 2021</c:v>
                </c:pt>
              </c:strCache>
            </c:strRef>
          </c:cat>
          <c:val>
            <c:numRef>
              <c:f>(Realistic!$F$49:$I$49,Realistic!$K$49:$N$49)</c:f>
              <c:numCache>
                <c:formatCode>#,##0\ "€"</c:formatCode>
                <c:ptCount val="8"/>
                <c:pt idx="0">
                  <c:v>-126682.35642221538</c:v>
                </c:pt>
                <c:pt idx="1">
                  <c:v>-158768.57042458723</c:v>
                </c:pt>
                <c:pt idx="2">
                  <c:v>-144748.56324513006</c:v>
                </c:pt>
                <c:pt idx="3">
                  <c:v>-88782.962977703617</c:v>
                </c:pt>
                <c:pt idx="4">
                  <c:v>-74710.644474431465</c:v>
                </c:pt>
                <c:pt idx="5">
                  <c:v>29742.23875284387</c:v>
                </c:pt>
                <c:pt idx="6">
                  <c:v>143929.99173859949</c:v>
                </c:pt>
                <c:pt idx="7">
                  <c:v>369661.00692941051</c:v>
                </c:pt>
              </c:numCache>
            </c:numRef>
          </c:val>
        </c:ser>
        <c:dLbls>
          <c:showLegendKey val="0"/>
          <c:showVal val="0"/>
          <c:showCatName val="0"/>
          <c:showSerName val="0"/>
          <c:showPercent val="0"/>
          <c:showBubbleSize val="0"/>
        </c:dLbls>
        <c:gapWidth val="150"/>
        <c:axId val="72824832"/>
        <c:axId val="173424640"/>
      </c:barChart>
      <c:catAx>
        <c:axId val="72824832"/>
        <c:scaling>
          <c:orientation val="minMax"/>
        </c:scaling>
        <c:delete val="0"/>
        <c:axPos val="b"/>
        <c:majorTickMark val="out"/>
        <c:minorTickMark val="none"/>
        <c:tickLblPos val="nextTo"/>
        <c:crossAx val="173424640"/>
        <c:crosses val="autoZero"/>
        <c:auto val="1"/>
        <c:lblAlgn val="ctr"/>
        <c:lblOffset val="100"/>
        <c:noMultiLvlLbl val="0"/>
      </c:catAx>
      <c:valAx>
        <c:axId val="173424640"/>
        <c:scaling>
          <c:orientation val="minMax"/>
        </c:scaling>
        <c:delete val="0"/>
        <c:axPos val="l"/>
        <c:majorGridlines/>
        <c:numFmt formatCode="#,##0" sourceLinked="1"/>
        <c:majorTickMark val="out"/>
        <c:minorTickMark val="none"/>
        <c:tickLblPos val="nextTo"/>
        <c:crossAx val="72824832"/>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User</c:v>
          </c:tx>
          <c:spPr>
            <a:solidFill>
              <a:schemeClr val="tx2">
                <a:lumMod val="60000"/>
                <a:lumOff val="40000"/>
              </a:schemeClr>
            </a:solidFill>
          </c:spPr>
          <c:invertIfNegative val="0"/>
          <c:cat>
            <c:strRef>
              <c:f>Realistic!$J$260:$P$260</c:f>
              <c:strCache>
                <c:ptCount val="7"/>
                <c:pt idx="0">
                  <c:v>Q1 2022</c:v>
                </c:pt>
                <c:pt idx="1">
                  <c:v>Q2 2022</c:v>
                </c:pt>
                <c:pt idx="2">
                  <c:v>Q3 2022</c:v>
                </c:pt>
                <c:pt idx="3">
                  <c:v>Q4 2022</c:v>
                </c:pt>
                <c:pt idx="4">
                  <c:v>2023</c:v>
                </c:pt>
                <c:pt idx="5">
                  <c:v>2024</c:v>
                </c:pt>
                <c:pt idx="6">
                  <c:v>2025</c:v>
                </c:pt>
              </c:strCache>
            </c:strRef>
          </c:cat>
          <c:val>
            <c:numRef>
              <c:f>(Realistic!$P$18:$S$18,Realistic!$V$18:$X$18)</c:f>
              <c:numCache>
                <c:formatCode>#,##0</c:formatCode>
                <c:ptCount val="7"/>
                <c:pt idx="0">
                  <c:v>411239.44837531581</c:v>
                </c:pt>
                <c:pt idx="1">
                  <c:v>671107.08655750507</c:v>
                </c:pt>
                <c:pt idx="2">
                  <c:v>1140331.4311950742</c:v>
                </c:pt>
                <c:pt idx="3">
                  <c:v>2016353.039477793</c:v>
                </c:pt>
                <c:pt idx="4">
                  <c:v>5891205.6794336475</c:v>
                </c:pt>
                <c:pt idx="5">
                  <c:v>14010941.670429699</c:v>
                </c:pt>
                <c:pt idx="6">
                  <c:v>25294677.306404136</c:v>
                </c:pt>
              </c:numCache>
            </c:numRef>
          </c:val>
        </c:ser>
        <c:ser>
          <c:idx val="1"/>
          <c:order val="1"/>
          <c:tx>
            <c:v>Income</c:v>
          </c:tx>
          <c:spPr>
            <a:solidFill>
              <a:srgbClr val="6DC71B"/>
            </a:solidFill>
          </c:spPr>
          <c:invertIfNegative val="0"/>
          <c:cat>
            <c:strRef>
              <c:f>Realistic!$J$260:$P$260</c:f>
              <c:strCache>
                <c:ptCount val="7"/>
                <c:pt idx="0">
                  <c:v>Q1 2022</c:v>
                </c:pt>
                <c:pt idx="1">
                  <c:v>Q2 2022</c:v>
                </c:pt>
                <c:pt idx="2">
                  <c:v>Q3 2022</c:v>
                </c:pt>
                <c:pt idx="3">
                  <c:v>Q4 2022</c:v>
                </c:pt>
                <c:pt idx="4">
                  <c:v>2023</c:v>
                </c:pt>
                <c:pt idx="5">
                  <c:v>2024</c:v>
                </c:pt>
                <c:pt idx="6">
                  <c:v>2025</c:v>
                </c:pt>
              </c:strCache>
            </c:strRef>
          </c:cat>
          <c:val>
            <c:numRef>
              <c:f>(Realistic!$P$30:$S$30,Realistic!$V$30:$X$30)</c:f>
              <c:numCache>
                <c:formatCode>#,##0\ "€"</c:formatCode>
                <c:ptCount val="7"/>
                <c:pt idx="0">
                  <c:v>2489171.3646994596</c:v>
                </c:pt>
                <c:pt idx="1">
                  <c:v>4631814.2023573956</c:v>
                </c:pt>
                <c:pt idx="2">
                  <c:v>8816908.4287794307</c:v>
                </c:pt>
                <c:pt idx="3">
                  <c:v>17233027.014297996</c:v>
                </c:pt>
                <c:pt idx="4">
                  <c:v>192153676.86954805</c:v>
                </c:pt>
                <c:pt idx="5">
                  <c:v>567211199.47110546</c:v>
                </c:pt>
                <c:pt idx="6">
                  <c:v>1285293740.5424666</c:v>
                </c:pt>
              </c:numCache>
            </c:numRef>
          </c:val>
        </c:ser>
        <c:ser>
          <c:idx val="2"/>
          <c:order val="2"/>
          <c:tx>
            <c:v>Expenses</c:v>
          </c:tx>
          <c:spPr>
            <a:solidFill>
              <a:srgbClr val="FF0000"/>
            </a:solidFill>
          </c:spPr>
          <c:invertIfNegative val="0"/>
          <c:cat>
            <c:strRef>
              <c:f>Realistic!$J$260:$P$260</c:f>
              <c:strCache>
                <c:ptCount val="7"/>
                <c:pt idx="0">
                  <c:v>Q1 2022</c:v>
                </c:pt>
                <c:pt idx="1">
                  <c:v>Q2 2022</c:v>
                </c:pt>
                <c:pt idx="2">
                  <c:v>Q3 2022</c:v>
                </c:pt>
                <c:pt idx="3">
                  <c:v>Q4 2022</c:v>
                </c:pt>
                <c:pt idx="4">
                  <c:v>2023</c:v>
                </c:pt>
                <c:pt idx="5">
                  <c:v>2024</c:v>
                </c:pt>
                <c:pt idx="6">
                  <c:v>2025</c:v>
                </c:pt>
              </c:strCache>
            </c:strRef>
          </c:cat>
          <c:val>
            <c:numRef>
              <c:f>(Realistic!$P$47:$S$47,Realistic!$V$47:$X$47)</c:f>
              <c:numCache>
                <c:formatCode>#,##0\ "€"</c:formatCode>
                <c:ptCount val="7"/>
                <c:pt idx="0">
                  <c:v>1646821.7957234757</c:v>
                </c:pt>
                <c:pt idx="1">
                  <c:v>2816310.1503274343</c:v>
                </c:pt>
                <c:pt idx="2">
                  <c:v>4937782.1906159883</c:v>
                </c:pt>
                <c:pt idx="3">
                  <c:v>8961264.6939049475</c:v>
                </c:pt>
                <c:pt idx="4">
                  <c:v>114666585.67748506</c:v>
                </c:pt>
                <c:pt idx="5">
                  <c:v>256842095.41067299</c:v>
                </c:pt>
                <c:pt idx="6">
                  <c:v>548051182.04480612</c:v>
                </c:pt>
              </c:numCache>
            </c:numRef>
          </c:val>
        </c:ser>
        <c:ser>
          <c:idx val="3"/>
          <c:order val="3"/>
          <c:tx>
            <c:v>Result</c:v>
          </c:tx>
          <c:spPr>
            <a:solidFill>
              <a:srgbClr val="FFC000"/>
            </a:solidFill>
          </c:spPr>
          <c:invertIfNegative val="0"/>
          <c:cat>
            <c:strRef>
              <c:f>Realistic!$J$260:$P$260</c:f>
              <c:strCache>
                <c:ptCount val="7"/>
                <c:pt idx="0">
                  <c:v>Q1 2022</c:v>
                </c:pt>
                <c:pt idx="1">
                  <c:v>Q2 2022</c:v>
                </c:pt>
                <c:pt idx="2">
                  <c:v>Q3 2022</c:v>
                </c:pt>
                <c:pt idx="3">
                  <c:v>Q4 2022</c:v>
                </c:pt>
                <c:pt idx="4">
                  <c:v>2023</c:v>
                </c:pt>
                <c:pt idx="5">
                  <c:v>2024</c:v>
                </c:pt>
                <c:pt idx="6">
                  <c:v>2025</c:v>
                </c:pt>
              </c:strCache>
            </c:strRef>
          </c:cat>
          <c:val>
            <c:numRef>
              <c:f>(Realistic!$P$49:$S$49,Realistic!$V$49:$X$49)</c:f>
              <c:numCache>
                <c:formatCode>#,##0\ "€"</c:formatCode>
                <c:ptCount val="7"/>
                <c:pt idx="0">
                  <c:v>842349.56897598389</c:v>
                </c:pt>
                <c:pt idx="1">
                  <c:v>1815504.0520299613</c:v>
                </c:pt>
                <c:pt idx="2">
                  <c:v>3879126.2381634424</c:v>
                </c:pt>
                <c:pt idx="3">
                  <c:v>8271762.3203930482</c:v>
                </c:pt>
                <c:pt idx="4">
                  <c:v>77487091.192062989</c:v>
                </c:pt>
                <c:pt idx="5">
                  <c:v>310369104.06043243</c:v>
                </c:pt>
                <c:pt idx="6">
                  <c:v>737242558.49766052</c:v>
                </c:pt>
              </c:numCache>
            </c:numRef>
          </c:val>
        </c:ser>
        <c:dLbls>
          <c:showLegendKey val="0"/>
          <c:showVal val="0"/>
          <c:showCatName val="0"/>
          <c:showSerName val="0"/>
          <c:showPercent val="0"/>
          <c:showBubbleSize val="0"/>
        </c:dLbls>
        <c:gapWidth val="150"/>
        <c:axId val="78746112"/>
        <c:axId val="173429824"/>
      </c:barChart>
      <c:catAx>
        <c:axId val="78746112"/>
        <c:scaling>
          <c:orientation val="minMax"/>
        </c:scaling>
        <c:delete val="0"/>
        <c:axPos val="b"/>
        <c:majorTickMark val="out"/>
        <c:minorTickMark val="none"/>
        <c:tickLblPos val="nextTo"/>
        <c:crossAx val="173429824"/>
        <c:crosses val="autoZero"/>
        <c:auto val="1"/>
        <c:lblAlgn val="ctr"/>
        <c:lblOffset val="100"/>
        <c:noMultiLvlLbl val="0"/>
      </c:catAx>
      <c:valAx>
        <c:axId val="173429824"/>
        <c:scaling>
          <c:orientation val="minMax"/>
        </c:scaling>
        <c:delete val="0"/>
        <c:axPos val="l"/>
        <c:majorGridlines/>
        <c:numFmt formatCode="#,##0" sourceLinked="1"/>
        <c:majorTickMark val="out"/>
        <c:minorTickMark val="none"/>
        <c:tickLblPos val="nextTo"/>
        <c:crossAx val="78746112"/>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Networks'!$C$4:$C$20</c:f>
              <c:numCache>
                <c:formatCode>General</c:formatCode>
                <c:ptCount val="17"/>
                <c:pt idx="0">
                  <c:v>0</c:v>
                </c:pt>
                <c:pt idx="1">
                  <c:v>1</c:v>
                </c:pt>
                <c:pt idx="2">
                  <c:v>6</c:v>
                </c:pt>
                <c:pt idx="3">
                  <c:v>12</c:v>
                </c:pt>
                <c:pt idx="4">
                  <c:v>58</c:v>
                </c:pt>
                <c:pt idx="5">
                  <c:v>145</c:v>
                </c:pt>
                <c:pt idx="6">
                  <c:v>360</c:v>
                </c:pt>
                <c:pt idx="7">
                  <c:v>608</c:v>
                </c:pt>
                <c:pt idx="8">
                  <c:v>845</c:v>
                </c:pt>
                <c:pt idx="9">
                  <c:v>1056</c:v>
                </c:pt>
                <c:pt idx="10">
                  <c:v>1230</c:v>
                </c:pt>
                <c:pt idx="11">
                  <c:v>1393</c:v>
                </c:pt>
                <c:pt idx="12">
                  <c:v>1591</c:v>
                </c:pt>
                <c:pt idx="13">
                  <c:v>1860</c:v>
                </c:pt>
                <c:pt idx="14">
                  <c:v>2072</c:v>
                </c:pt>
                <c:pt idx="15">
                  <c:v>2250</c:v>
                </c:pt>
                <c:pt idx="16">
                  <c:v>2450</c:v>
                </c:pt>
              </c:numCache>
            </c:numRef>
          </c:val>
          <c:smooth val="0"/>
        </c:ser>
        <c:ser>
          <c:idx val="1"/>
          <c:order val="1"/>
          <c:tx>
            <c:v>WhatsApp</c:v>
          </c:tx>
          <c:spPr>
            <a:ln>
              <a:solidFill>
                <a:srgbClr val="7030A0"/>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Networks'!$E$4:$E$18</c:f>
              <c:numCache>
                <c:formatCode>General</c:formatCode>
                <c:ptCount val="15"/>
                <c:pt idx="0">
                  <c:v>0</c:v>
                </c:pt>
                <c:pt idx="1">
                  <c:v>0</c:v>
                </c:pt>
                <c:pt idx="2">
                  <c:v>0</c:v>
                </c:pt>
                <c:pt idx="3">
                  <c:v>0</c:v>
                </c:pt>
                <c:pt idx="4">
                  <c:v>0</c:v>
                </c:pt>
                <c:pt idx="5">
                  <c:v>0.01</c:v>
                </c:pt>
                <c:pt idx="6">
                  <c:v>0.25</c:v>
                </c:pt>
                <c:pt idx="7">
                  <c:v>5</c:v>
                </c:pt>
                <c:pt idx="8">
                  <c:v>35</c:v>
                </c:pt>
                <c:pt idx="9">
                  <c:v>150</c:v>
                </c:pt>
                <c:pt idx="10">
                  <c:v>400</c:v>
                </c:pt>
                <c:pt idx="11">
                  <c:v>600</c:v>
                </c:pt>
                <c:pt idx="12">
                  <c:v>900</c:v>
                </c:pt>
                <c:pt idx="13">
                  <c:v>1000</c:v>
                </c:pt>
                <c:pt idx="14">
                  <c:v>1500</c:v>
                </c:pt>
              </c:numCache>
            </c:numRef>
          </c:val>
          <c:smooth val="0"/>
        </c:ser>
        <c:ser>
          <c:idx val="2"/>
          <c:order val="2"/>
          <c:tx>
            <c:v>WeChat</c:v>
          </c:tx>
          <c:spPr>
            <a:ln>
              <a:solidFill>
                <a:srgbClr val="FF0000"/>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Networks'!$G$4:$G$20</c:f>
              <c:numCache>
                <c:formatCode>General</c:formatCode>
                <c:ptCount val="17"/>
                <c:pt idx="0">
                  <c:v>0</c:v>
                </c:pt>
                <c:pt idx="1">
                  <c:v>0</c:v>
                </c:pt>
                <c:pt idx="2">
                  <c:v>0</c:v>
                </c:pt>
                <c:pt idx="3">
                  <c:v>0</c:v>
                </c:pt>
                <c:pt idx="4">
                  <c:v>0</c:v>
                </c:pt>
                <c:pt idx="5">
                  <c:v>0</c:v>
                </c:pt>
                <c:pt idx="6">
                  <c:v>0</c:v>
                </c:pt>
                <c:pt idx="7">
                  <c:v>0</c:v>
                </c:pt>
                <c:pt idx="8">
                  <c:v>50</c:v>
                </c:pt>
                <c:pt idx="9">
                  <c:v>160</c:v>
                </c:pt>
                <c:pt idx="10">
                  <c:v>355</c:v>
                </c:pt>
                <c:pt idx="11">
                  <c:v>500</c:v>
                </c:pt>
                <c:pt idx="12">
                  <c:v>697</c:v>
                </c:pt>
                <c:pt idx="13">
                  <c:v>889</c:v>
                </c:pt>
                <c:pt idx="14">
                  <c:v>980</c:v>
                </c:pt>
                <c:pt idx="15">
                  <c:v>1100</c:v>
                </c:pt>
                <c:pt idx="16">
                  <c:v>1160</c:v>
                </c:pt>
              </c:numCache>
            </c:numRef>
          </c:val>
          <c:smooth val="0"/>
        </c:ser>
        <c:ser>
          <c:idx val="3"/>
          <c:order val="3"/>
          <c:tx>
            <c:v>Instagram</c:v>
          </c:tx>
          <c:spPr>
            <a:ln>
              <a:solidFill>
                <a:srgbClr val="FFC000"/>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Networks'!$I$4:$I$19</c:f>
              <c:numCache>
                <c:formatCode>General</c:formatCode>
                <c:ptCount val="16"/>
                <c:pt idx="0">
                  <c:v>0</c:v>
                </c:pt>
                <c:pt idx="1">
                  <c:v>0</c:v>
                </c:pt>
                <c:pt idx="2">
                  <c:v>0</c:v>
                </c:pt>
                <c:pt idx="3">
                  <c:v>0</c:v>
                </c:pt>
                <c:pt idx="4">
                  <c:v>0</c:v>
                </c:pt>
                <c:pt idx="5">
                  <c:v>0</c:v>
                </c:pt>
                <c:pt idx="6">
                  <c:v>0</c:v>
                </c:pt>
                <c:pt idx="7">
                  <c:v>1</c:v>
                </c:pt>
                <c:pt idx="8">
                  <c:v>10</c:v>
                </c:pt>
                <c:pt idx="9">
                  <c:v>80</c:v>
                </c:pt>
                <c:pt idx="10">
                  <c:v>150</c:v>
                </c:pt>
                <c:pt idx="11">
                  <c:v>300</c:v>
                </c:pt>
                <c:pt idx="12">
                  <c:v>400</c:v>
                </c:pt>
                <c:pt idx="13">
                  <c:v>600</c:v>
                </c:pt>
                <c:pt idx="14">
                  <c:v>800</c:v>
                </c:pt>
                <c:pt idx="15">
                  <c:v>1000</c:v>
                </c:pt>
              </c:numCache>
            </c:numRef>
          </c:val>
          <c:smooth val="0"/>
        </c:ser>
        <c:ser>
          <c:idx val="4"/>
          <c:order val="4"/>
          <c:tx>
            <c:v>LinkedIn</c:v>
          </c:tx>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Networks'!$M$4:$M$17</c:f>
              <c:numCache>
                <c:formatCode>General</c:formatCode>
                <c:ptCount val="14"/>
                <c:pt idx="0">
                  <c:v>0</c:v>
                </c:pt>
                <c:pt idx="1">
                  <c:v>0</c:v>
                </c:pt>
                <c:pt idx="2">
                  <c:v>0</c:v>
                </c:pt>
                <c:pt idx="3">
                  <c:v>1.6E-2</c:v>
                </c:pt>
                <c:pt idx="4">
                  <c:v>0.70199999999999996</c:v>
                </c:pt>
                <c:pt idx="5">
                  <c:v>4</c:v>
                </c:pt>
                <c:pt idx="6">
                  <c:v>18</c:v>
                </c:pt>
                <c:pt idx="7">
                  <c:v>54</c:v>
                </c:pt>
                <c:pt idx="8">
                  <c:v>117</c:v>
                </c:pt>
                <c:pt idx="9">
                  <c:v>185</c:v>
                </c:pt>
                <c:pt idx="10">
                  <c:v>241</c:v>
                </c:pt>
                <c:pt idx="11">
                  <c:v>288</c:v>
                </c:pt>
                <c:pt idx="12">
                  <c:v>305</c:v>
                </c:pt>
                <c:pt idx="13">
                  <c:v>319</c:v>
                </c:pt>
              </c:numCache>
            </c:numRef>
          </c:val>
          <c:smooth val="0"/>
        </c:ser>
        <c:ser>
          <c:idx val="6"/>
          <c:order val="6"/>
          <c:tx>
            <c:v>connect (Realistic)</c:v>
          </c:tx>
          <c:spPr>
            <a:ln>
              <a:solidFill>
                <a:srgbClr val="6DC71B"/>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Networks'!$Q$4:$Q$26</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formatCode="#,##0.00">
                  <c:v>5.5007231534220366E-2</c:v>
                </c:pt>
                <c:pt idx="18" formatCode="#,##0.00">
                  <c:v>0.26211723812496734</c:v>
                </c:pt>
                <c:pt idx="19" formatCode="#,##0.00">
                  <c:v>2.0163530394777931</c:v>
                </c:pt>
                <c:pt idx="20" formatCode="#,##0.00">
                  <c:v>5.8912056794336474</c:v>
                </c:pt>
                <c:pt idx="21" formatCode="#,##0.00">
                  <c:v>14.010941670429698</c:v>
                </c:pt>
                <c:pt idx="22" formatCode="#,##0.00">
                  <c:v>25.294677306404136</c:v>
                </c:pt>
              </c:numCache>
            </c:numRef>
          </c:val>
          <c:smooth val="0"/>
        </c:ser>
        <c:ser>
          <c:idx val="7"/>
          <c:order val="7"/>
          <c:tx>
            <c:v>connect (You)</c:v>
          </c:tx>
          <c:spPr>
            <a:ln>
              <a:solidFill>
                <a:schemeClr val="accent6">
                  <a:lumMod val="75000"/>
                </a:schemeClr>
              </a:solidFill>
            </a:ln>
          </c:spPr>
          <c:marker>
            <c:symbol val="none"/>
          </c:marker>
          <c:val>
            <c:numRef>
              <c:f>'Comparision successful Networks'!$O$4:$O$26</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formatCode="#,##0.00">
                  <c:v>2.6787965261703416E-2</c:v>
                </c:pt>
                <c:pt idx="18" formatCode="#,##0.00">
                  <c:v>3.8454597338960603E-2</c:v>
                </c:pt>
                <c:pt idx="19" formatCode="#,##0.00">
                  <c:v>3.8454597338960603E-2</c:v>
                </c:pt>
                <c:pt idx="20" formatCode="#,##0.00">
                  <c:v>3.8454597338960603E-2</c:v>
                </c:pt>
                <c:pt idx="21" formatCode="#,##0.00">
                  <c:v>3.8454597338960603E-2</c:v>
                </c:pt>
                <c:pt idx="22" formatCode="#,##0.00">
                  <c:v>3.8454597338960603E-2</c:v>
                </c:pt>
              </c:numCache>
            </c:numRef>
          </c:val>
          <c:smooth val="0"/>
        </c:ser>
        <c:dLbls>
          <c:showLegendKey val="0"/>
          <c:showVal val="0"/>
          <c:showCatName val="0"/>
          <c:showSerName val="0"/>
          <c:showPercent val="0"/>
          <c:showBubbleSize val="0"/>
        </c:dLbls>
        <c:marker val="1"/>
        <c:smooth val="0"/>
        <c:axId val="78747648"/>
        <c:axId val="173962304"/>
      </c:lineChart>
      <c:catAx>
        <c:axId val="78747648"/>
        <c:scaling>
          <c:orientation val="minMax"/>
        </c:scaling>
        <c:delete val="0"/>
        <c:axPos val="b"/>
        <c:numFmt formatCode="@" sourceLinked="0"/>
        <c:majorTickMark val="out"/>
        <c:minorTickMark val="none"/>
        <c:tickLblPos val="nextTo"/>
        <c:crossAx val="173962304"/>
        <c:crosses val="autoZero"/>
        <c:auto val="1"/>
        <c:lblAlgn val="ctr"/>
        <c:lblOffset val="100"/>
        <c:noMultiLvlLbl val="0"/>
      </c:catAx>
      <c:valAx>
        <c:axId val="173962304"/>
        <c:scaling>
          <c:orientation val="minMax"/>
        </c:scaling>
        <c:delete val="0"/>
        <c:axPos val="l"/>
        <c:majorGridlines/>
        <c:numFmt formatCode="General" sourceLinked="1"/>
        <c:majorTickMark val="out"/>
        <c:minorTickMark val="none"/>
        <c:tickLblPos val="nextTo"/>
        <c:crossAx val="78747648"/>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val>
            <c:numRef>
              <c:f>'Comparision successful Networks'!$C$5:$C$18</c:f>
              <c:numCache>
                <c:formatCode>General</c:formatCode>
                <c:ptCount val="14"/>
                <c:pt idx="0">
                  <c:v>1</c:v>
                </c:pt>
                <c:pt idx="1">
                  <c:v>6</c:v>
                </c:pt>
                <c:pt idx="2">
                  <c:v>12</c:v>
                </c:pt>
                <c:pt idx="3">
                  <c:v>58</c:v>
                </c:pt>
                <c:pt idx="4">
                  <c:v>145</c:v>
                </c:pt>
                <c:pt idx="5">
                  <c:v>360</c:v>
                </c:pt>
                <c:pt idx="6">
                  <c:v>608</c:v>
                </c:pt>
                <c:pt idx="7">
                  <c:v>845</c:v>
                </c:pt>
                <c:pt idx="8">
                  <c:v>1056</c:v>
                </c:pt>
                <c:pt idx="9">
                  <c:v>1230</c:v>
                </c:pt>
                <c:pt idx="10">
                  <c:v>1393</c:v>
                </c:pt>
                <c:pt idx="11">
                  <c:v>1591</c:v>
                </c:pt>
                <c:pt idx="12">
                  <c:v>1860</c:v>
                </c:pt>
                <c:pt idx="13">
                  <c:v>2072</c:v>
                </c:pt>
              </c:numCache>
            </c:numRef>
          </c:val>
          <c:smooth val="0"/>
        </c:ser>
        <c:ser>
          <c:idx val="1"/>
          <c:order val="1"/>
          <c:tx>
            <c:v>WhatsApp</c:v>
          </c:tx>
          <c:spPr>
            <a:ln>
              <a:solidFill>
                <a:srgbClr val="7030A0"/>
              </a:solidFill>
            </a:ln>
          </c:spPr>
          <c:marker>
            <c:symbol val="none"/>
          </c:marker>
          <c:val>
            <c:numRef>
              <c:f>'Comparision successful Networks'!$E$9:$E$18</c:f>
              <c:numCache>
                <c:formatCode>General</c:formatCode>
                <c:ptCount val="10"/>
                <c:pt idx="0">
                  <c:v>0.01</c:v>
                </c:pt>
                <c:pt idx="1">
                  <c:v>0.25</c:v>
                </c:pt>
                <c:pt idx="2">
                  <c:v>5</c:v>
                </c:pt>
                <c:pt idx="3">
                  <c:v>35</c:v>
                </c:pt>
                <c:pt idx="4">
                  <c:v>150</c:v>
                </c:pt>
                <c:pt idx="5">
                  <c:v>400</c:v>
                </c:pt>
                <c:pt idx="6">
                  <c:v>600</c:v>
                </c:pt>
                <c:pt idx="7">
                  <c:v>900</c:v>
                </c:pt>
                <c:pt idx="8">
                  <c:v>1000</c:v>
                </c:pt>
                <c:pt idx="9">
                  <c:v>1500</c:v>
                </c:pt>
              </c:numCache>
            </c:numRef>
          </c:val>
          <c:smooth val="0"/>
        </c:ser>
        <c:ser>
          <c:idx val="2"/>
          <c:order val="2"/>
          <c:tx>
            <c:v>WeChat</c:v>
          </c:tx>
          <c:spPr>
            <a:ln>
              <a:solidFill>
                <a:srgbClr val="FF0000"/>
              </a:solidFill>
            </a:ln>
          </c:spPr>
          <c:marker>
            <c:symbol val="none"/>
          </c:marker>
          <c:val>
            <c:numRef>
              <c:f>'Comparision successful Networks'!$G$12:$G$18</c:f>
              <c:numCache>
                <c:formatCode>General</c:formatCode>
                <c:ptCount val="7"/>
                <c:pt idx="0">
                  <c:v>50</c:v>
                </c:pt>
                <c:pt idx="1">
                  <c:v>160</c:v>
                </c:pt>
                <c:pt idx="2">
                  <c:v>355</c:v>
                </c:pt>
                <c:pt idx="3">
                  <c:v>500</c:v>
                </c:pt>
                <c:pt idx="4">
                  <c:v>697</c:v>
                </c:pt>
                <c:pt idx="5">
                  <c:v>889</c:v>
                </c:pt>
                <c:pt idx="6">
                  <c:v>980</c:v>
                </c:pt>
              </c:numCache>
            </c:numRef>
          </c:val>
          <c:smooth val="0"/>
        </c:ser>
        <c:ser>
          <c:idx val="3"/>
          <c:order val="3"/>
          <c:tx>
            <c:v>Instagram</c:v>
          </c:tx>
          <c:spPr>
            <a:ln>
              <a:solidFill>
                <a:srgbClr val="FFC000"/>
              </a:solidFill>
            </a:ln>
          </c:spPr>
          <c:marker>
            <c:symbol val="none"/>
          </c:marker>
          <c:val>
            <c:numRef>
              <c:f>'Comparision successful Networks'!$I$11:$I$18</c:f>
              <c:numCache>
                <c:formatCode>General</c:formatCode>
                <c:ptCount val="8"/>
                <c:pt idx="0">
                  <c:v>1</c:v>
                </c:pt>
                <c:pt idx="1">
                  <c:v>10</c:v>
                </c:pt>
                <c:pt idx="2">
                  <c:v>80</c:v>
                </c:pt>
                <c:pt idx="3">
                  <c:v>150</c:v>
                </c:pt>
                <c:pt idx="4">
                  <c:v>300</c:v>
                </c:pt>
                <c:pt idx="5">
                  <c:v>400</c:v>
                </c:pt>
                <c:pt idx="6">
                  <c:v>600</c:v>
                </c:pt>
                <c:pt idx="7">
                  <c:v>800</c:v>
                </c:pt>
              </c:numCache>
            </c:numRef>
          </c:val>
          <c:smooth val="0"/>
        </c:ser>
        <c:ser>
          <c:idx val="4"/>
          <c:order val="4"/>
          <c:tx>
            <c:v>LinkedIn</c:v>
          </c:tx>
          <c:spPr>
            <a:ln>
              <a:solidFill>
                <a:schemeClr val="accent5">
                  <a:lumMod val="75000"/>
                </a:schemeClr>
              </a:solidFill>
            </a:ln>
          </c:spPr>
          <c:marker>
            <c:symbol val="none"/>
          </c:marker>
          <c:val>
            <c:numRef>
              <c:f>'Comparision successful Networks'!$K$4:$K$16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val>
            <c:numRef>
              <c:f>'Comparision successful Networks'!$M$7:$M$17</c:f>
              <c:numCache>
                <c:formatCode>General</c:formatCode>
                <c:ptCount val="11"/>
                <c:pt idx="0">
                  <c:v>1.6E-2</c:v>
                </c:pt>
                <c:pt idx="1">
                  <c:v>0.70199999999999996</c:v>
                </c:pt>
                <c:pt idx="2">
                  <c:v>4</c:v>
                </c:pt>
                <c:pt idx="3">
                  <c:v>18</c:v>
                </c:pt>
                <c:pt idx="4">
                  <c:v>54</c:v>
                </c:pt>
                <c:pt idx="5">
                  <c:v>117</c:v>
                </c:pt>
                <c:pt idx="6">
                  <c:v>185</c:v>
                </c:pt>
                <c:pt idx="7">
                  <c:v>241</c:v>
                </c:pt>
                <c:pt idx="8">
                  <c:v>288</c:v>
                </c:pt>
                <c:pt idx="9">
                  <c:v>305</c:v>
                </c:pt>
                <c:pt idx="10">
                  <c:v>319</c:v>
                </c:pt>
              </c:numCache>
            </c:numRef>
          </c:val>
          <c:smooth val="0"/>
        </c:ser>
        <c:ser>
          <c:idx val="6"/>
          <c:order val="6"/>
          <c:tx>
            <c:v>connect (Wir)</c:v>
          </c:tx>
          <c:spPr>
            <a:ln>
              <a:solidFill>
                <a:srgbClr val="6DC71B"/>
              </a:solidFill>
            </a:ln>
          </c:spPr>
          <c:marker>
            <c:symbol val="none"/>
          </c:marker>
          <c:val>
            <c:numRef>
              <c:f>'Comparision successful Networks'!$Q$21:$Q$26</c:f>
              <c:numCache>
                <c:formatCode>#,##0.00</c:formatCode>
                <c:ptCount val="6"/>
                <c:pt idx="0">
                  <c:v>5.5007231534220366E-2</c:v>
                </c:pt>
                <c:pt idx="1">
                  <c:v>0.26211723812496734</c:v>
                </c:pt>
                <c:pt idx="2">
                  <c:v>2.0163530394777931</c:v>
                </c:pt>
                <c:pt idx="3">
                  <c:v>5.8912056794336474</c:v>
                </c:pt>
                <c:pt idx="4">
                  <c:v>14.010941670429698</c:v>
                </c:pt>
                <c:pt idx="5">
                  <c:v>25.294677306404136</c:v>
                </c:pt>
              </c:numCache>
            </c:numRef>
          </c:val>
          <c:smooth val="0"/>
        </c:ser>
        <c:ser>
          <c:idx val="7"/>
          <c:order val="7"/>
          <c:tx>
            <c:v>connect (Sie)</c:v>
          </c:tx>
          <c:spPr>
            <a:ln>
              <a:solidFill>
                <a:schemeClr val="accent6">
                  <a:lumMod val="75000"/>
                </a:schemeClr>
              </a:solidFill>
            </a:ln>
          </c:spPr>
          <c:marker>
            <c:symbol val="none"/>
          </c:marker>
          <c:val>
            <c:numRef>
              <c:f>'Comparision successful Networks'!$O$21:$O$26</c:f>
              <c:numCache>
                <c:formatCode>#,##0.00</c:formatCode>
                <c:ptCount val="6"/>
                <c:pt idx="0">
                  <c:v>2.6787965261703416E-2</c:v>
                </c:pt>
                <c:pt idx="1">
                  <c:v>3.8454597338960603E-2</c:v>
                </c:pt>
                <c:pt idx="2">
                  <c:v>3.8454597338960603E-2</c:v>
                </c:pt>
                <c:pt idx="3">
                  <c:v>3.8454597338960603E-2</c:v>
                </c:pt>
                <c:pt idx="4">
                  <c:v>3.8454597338960603E-2</c:v>
                </c:pt>
                <c:pt idx="5">
                  <c:v>3.8454597338960603E-2</c:v>
                </c:pt>
              </c:numCache>
            </c:numRef>
          </c:val>
          <c:smooth val="0"/>
        </c:ser>
        <c:dLbls>
          <c:showLegendKey val="0"/>
          <c:showVal val="0"/>
          <c:showCatName val="0"/>
          <c:showSerName val="0"/>
          <c:showPercent val="0"/>
          <c:showBubbleSize val="0"/>
        </c:dLbls>
        <c:marker val="1"/>
        <c:smooth val="0"/>
        <c:axId val="78748672"/>
        <c:axId val="173957120"/>
      </c:lineChart>
      <c:catAx>
        <c:axId val="78748672"/>
        <c:scaling>
          <c:orientation val="minMax"/>
        </c:scaling>
        <c:delete val="0"/>
        <c:axPos val="b"/>
        <c:numFmt formatCode="General" sourceLinked="1"/>
        <c:majorTickMark val="out"/>
        <c:minorTickMark val="none"/>
        <c:tickLblPos val="nextTo"/>
        <c:crossAx val="173957120"/>
        <c:crosses val="autoZero"/>
        <c:auto val="1"/>
        <c:lblAlgn val="ctr"/>
        <c:lblOffset val="100"/>
        <c:noMultiLvlLbl val="0"/>
      </c:catAx>
      <c:valAx>
        <c:axId val="173957120"/>
        <c:scaling>
          <c:orientation val="minMax"/>
        </c:scaling>
        <c:delete val="0"/>
        <c:axPos val="l"/>
        <c:majorGridlines/>
        <c:numFmt formatCode="General" sourceLinked="1"/>
        <c:majorTickMark val="out"/>
        <c:minorTickMark val="none"/>
        <c:tickLblPos val="nextTo"/>
        <c:crossAx val="78748672"/>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val>
            <c:numRef>
              <c:f>'Comparision successful Networks'!$C$5:$C$20</c:f>
              <c:numCache>
                <c:formatCode>General</c:formatCode>
                <c:ptCount val="16"/>
                <c:pt idx="0">
                  <c:v>1</c:v>
                </c:pt>
                <c:pt idx="1">
                  <c:v>6</c:v>
                </c:pt>
                <c:pt idx="2">
                  <c:v>12</c:v>
                </c:pt>
                <c:pt idx="3">
                  <c:v>58</c:v>
                </c:pt>
                <c:pt idx="4">
                  <c:v>145</c:v>
                </c:pt>
                <c:pt idx="5">
                  <c:v>360</c:v>
                </c:pt>
                <c:pt idx="6">
                  <c:v>608</c:v>
                </c:pt>
                <c:pt idx="7">
                  <c:v>845</c:v>
                </c:pt>
                <c:pt idx="8">
                  <c:v>1056</c:v>
                </c:pt>
                <c:pt idx="9">
                  <c:v>1230</c:v>
                </c:pt>
                <c:pt idx="10">
                  <c:v>1393</c:v>
                </c:pt>
                <c:pt idx="11">
                  <c:v>1591</c:v>
                </c:pt>
                <c:pt idx="12">
                  <c:v>1860</c:v>
                </c:pt>
                <c:pt idx="13">
                  <c:v>2072</c:v>
                </c:pt>
                <c:pt idx="14">
                  <c:v>2250</c:v>
                </c:pt>
                <c:pt idx="15">
                  <c:v>2450</c:v>
                </c:pt>
              </c:numCache>
            </c:numRef>
          </c:val>
          <c:smooth val="0"/>
        </c:ser>
        <c:ser>
          <c:idx val="1"/>
          <c:order val="1"/>
          <c:tx>
            <c:v>WhatsApp</c:v>
          </c:tx>
          <c:spPr>
            <a:ln>
              <a:solidFill>
                <a:srgbClr val="7030A0"/>
              </a:solidFill>
            </a:ln>
          </c:spPr>
          <c:marker>
            <c:symbol val="none"/>
          </c:marker>
          <c:val>
            <c:numRef>
              <c:f>'Comparision successful Networks'!$E$9:$E$18</c:f>
              <c:numCache>
                <c:formatCode>General</c:formatCode>
                <c:ptCount val="10"/>
                <c:pt idx="0">
                  <c:v>0.01</c:v>
                </c:pt>
                <c:pt idx="1">
                  <c:v>0.25</c:v>
                </c:pt>
                <c:pt idx="2">
                  <c:v>5</c:v>
                </c:pt>
                <c:pt idx="3">
                  <c:v>35</c:v>
                </c:pt>
                <c:pt idx="4">
                  <c:v>150</c:v>
                </c:pt>
                <c:pt idx="5">
                  <c:v>400</c:v>
                </c:pt>
                <c:pt idx="6">
                  <c:v>600</c:v>
                </c:pt>
                <c:pt idx="7">
                  <c:v>900</c:v>
                </c:pt>
                <c:pt idx="8">
                  <c:v>1000</c:v>
                </c:pt>
                <c:pt idx="9">
                  <c:v>1500</c:v>
                </c:pt>
              </c:numCache>
            </c:numRef>
          </c:val>
          <c:smooth val="0"/>
        </c:ser>
        <c:ser>
          <c:idx val="2"/>
          <c:order val="2"/>
          <c:tx>
            <c:v>WeChat</c:v>
          </c:tx>
          <c:spPr>
            <a:ln>
              <a:solidFill>
                <a:srgbClr val="FF0000"/>
              </a:solidFill>
            </a:ln>
          </c:spPr>
          <c:marker>
            <c:symbol val="none"/>
          </c:marker>
          <c:val>
            <c:numRef>
              <c:f>'Comparision successful Networks'!$G$12:$G$20</c:f>
              <c:numCache>
                <c:formatCode>General</c:formatCode>
                <c:ptCount val="9"/>
                <c:pt idx="0">
                  <c:v>50</c:v>
                </c:pt>
                <c:pt idx="1">
                  <c:v>160</c:v>
                </c:pt>
                <c:pt idx="2">
                  <c:v>355</c:v>
                </c:pt>
                <c:pt idx="3">
                  <c:v>500</c:v>
                </c:pt>
                <c:pt idx="4">
                  <c:v>697</c:v>
                </c:pt>
                <c:pt idx="5">
                  <c:v>889</c:v>
                </c:pt>
                <c:pt idx="6">
                  <c:v>980</c:v>
                </c:pt>
                <c:pt idx="7">
                  <c:v>1100</c:v>
                </c:pt>
                <c:pt idx="8">
                  <c:v>1160</c:v>
                </c:pt>
              </c:numCache>
            </c:numRef>
          </c:val>
          <c:smooth val="0"/>
        </c:ser>
        <c:ser>
          <c:idx val="3"/>
          <c:order val="3"/>
          <c:tx>
            <c:v>Instagram</c:v>
          </c:tx>
          <c:spPr>
            <a:ln>
              <a:solidFill>
                <a:srgbClr val="FFC000"/>
              </a:solidFill>
            </a:ln>
          </c:spPr>
          <c:marker>
            <c:symbol val="none"/>
          </c:marker>
          <c:val>
            <c:numRef>
              <c:f>'Comparision successful Networks'!$I$11:$I$19</c:f>
              <c:numCache>
                <c:formatCode>General</c:formatCode>
                <c:ptCount val="9"/>
                <c:pt idx="0">
                  <c:v>1</c:v>
                </c:pt>
                <c:pt idx="1">
                  <c:v>10</c:v>
                </c:pt>
                <c:pt idx="2">
                  <c:v>80</c:v>
                </c:pt>
                <c:pt idx="3">
                  <c:v>150</c:v>
                </c:pt>
                <c:pt idx="4">
                  <c:v>300</c:v>
                </c:pt>
                <c:pt idx="5">
                  <c:v>400</c:v>
                </c:pt>
                <c:pt idx="6">
                  <c:v>600</c:v>
                </c:pt>
                <c:pt idx="7">
                  <c:v>800</c:v>
                </c:pt>
                <c:pt idx="8">
                  <c:v>1000</c:v>
                </c:pt>
              </c:numCache>
            </c:numRef>
          </c:val>
          <c:smooth val="0"/>
        </c:ser>
        <c:ser>
          <c:idx val="4"/>
          <c:order val="4"/>
          <c:tx>
            <c:v>LinkedIn</c:v>
          </c:tx>
          <c:spPr>
            <a:ln>
              <a:solidFill>
                <a:schemeClr val="accent5">
                  <a:lumMod val="75000"/>
                </a:schemeClr>
              </a:solidFill>
            </a:ln>
          </c:spPr>
          <c:marker>
            <c:symbol val="none"/>
          </c:marker>
          <c:val>
            <c:numRef>
              <c:f>'Comparision successful Networks'!$K$4:$K$16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val>
            <c:numRef>
              <c:f>'Comparision successful Networks'!$M$7:$M$17</c:f>
              <c:numCache>
                <c:formatCode>General</c:formatCode>
                <c:ptCount val="11"/>
                <c:pt idx="0">
                  <c:v>1.6E-2</c:v>
                </c:pt>
                <c:pt idx="1">
                  <c:v>0.70199999999999996</c:v>
                </c:pt>
                <c:pt idx="2">
                  <c:v>4</c:v>
                </c:pt>
                <c:pt idx="3">
                  <c:v>18</c:v>
                </c:pt>
                <c:pt idx="4">
                  <c:v>54</c:v>
                </c:pt>
                <c:pt idx="5">
                  <c:v>117</c:v>
                </c:pt>
                <c:pt idx="6">
                  <c:v>185</c:v>
                </c:pt>
                <c:pt idx="7">
                  <c:v>241</c:v>
                </c:pt>
                <c:pt idx="8">
                  <c:v>288</c:v>
                </c:pt>
                <c:pt idx="9">
                  <c:v>305</c:v>
                </c:pt>
                <c:pt idx="10">
                  <c:v>319</c:v>
                </c:pt>
              </c:numCache>
            </c:numRef>
          </c:val>
          <c:smooth val="0"/>
        </c:ser>
        <c:ser>
          <c:idx val="6"/>
          <c:order val="6"/>
          <c:tx>
            <c:v>connect (Realistic)</c:v>
          </c:tx>
          <c:spPr>
            <a:ln>
              <a:solidFill>
                <a:srgbClr val="6DC71B"/>
              </a:solidFill>
            </a:ln>
          </c:spPr>
          <c:marker>
            <c:symbol val="none"/>
          </c:marker>
          <c:val>
            <c:numRef>
              <c:f>'Comparision successful Networks'!$Q$21:$Q$26</c:f>
              <c:numCache>
                <c:formatCode>#,##0.00</c:formatCode>
                <c:ptCount val="6"/>
                <c:pt idx="0">
                  <c:v>5.5007231534220366E-2</c:v>
                </c:pt>
                <c:pt idx="1">
                  <c:v>0.26211723812496734</c:v>
                </c:pt>
                <c:pt idx="2">
                  <c:v>2.0163530394777931</c:v>
                </c:pt>
                <c:pt idx="3">
                  <c:v>5.8912056794336474</c:v>
                </c:pt>
                <c:pt idx="4">
                  <c:v>14.010941670429698</c:v>
                </c:pt>
                <c:pt idx="5">
                  <c:v>25.294677306404136</c:v>
                </c:pt>
              </c:numCache>
            </c:numRef>
          </c:val>
          <c:smooth val="0"/>
        </c:ser>
        <c:ser>
          <c:idx val="7"/>
          <c:order val="7"/>
          <c:tx>
            <c:v>connect (You)</c:v>
          </c:tx>
          <c:spPr>
            <a:ln>
              <a:solidFill>
                <a:schemeClr val="accent6">
                  <a:lumMod val="75000"/>
                </a:schemeClr>
              </a:solidFill>
            </a:ln>
          </c:spPr>
          <c:marker>
            <c:symbol val="none"/>
          </c:marker>
          <c:val>
            <c:numRef>
              <c:f>'Comparision successful Networks'!$O$21:$O$26</c:f>
              <c:numCache>
                <c:formatCode>#,##0.00</c:formatCode>
                <c:ptCount val="6"/>
                <c:pt idx="0">
                  <c:v>2.6787965261703416E-2</c:v>
                </c:pt>
                <c:pt idx="1">
                  <c:v>3.8454597338960603E-2</c:v>
                </c:pt>
                <c:pt idx="2">
                  <c:v>3.8454597338960603E-2</c:v>
                </c:pt>
                <c:pt idx="3">
                  <c:v>3.8454597338960603E-2</c:v>
                </c:pt>
                <c:pt idx="4">
                  <c:v>3.8454597338960603E-2</c:v>
                </c:pt>
                <c:pt idx="5">
                  <c:v>3.8454597338960603E-2</c:v>
                </c:pt>
              </c:numCache>
            </c:numRef>
          </c:val>
          <c:smooth val="0"/>
        </c:ser>
        <c:dLbls>
          <c:showLegendKey val="0"/>
          <c:showVal val="0"/>
          <c:showCatName val="0"/>
          <c:showSerName val="0"/>
          <c:showPercent val="0"/>
          <c:showBubbleSize val="0"/>
        </c:dLbls>
        <c:marker val="1"/>
        <c:smooth val="0"/>
        <c:axId val="101535744"/>
        <c:axId val="173960576"/>
      </c:lineChart>
      <c:catAx>
        <c:axId val="101535744"/>
        <c:scaling>
          <c:orientation val="minMax"/>
        </c:scaling>
        <c:delete val="0"/>
        <c:axPos val="b"/>
        <c:numFmt formatCode="General" sourceLinked="1"/>
        <c:majorTickMark val="out"/>
        <c:minorTickMark val="none"/>
        <c:tickLblPos val="nextTo"/>
        <c:crossAx val="173960576"/>
        <c:crosses val="autoZero"/>
        <c:auto val="1"/>
        <c:lblAlgn val="ctr"/>
        <c:lblOffset val="100"/>
        <c:noMultiLvlLbl val="0"/>
      </c:catAx>
      <c:valAx>
        <c:axId val="173960576"/>
        <c:scaling>
          <c:orientation val="minMax"/>
        </c:scaling>
        <c:delete val="0"/>
        <c:axPos val="l"/>
        <c:majorGridlines/>
        <c:numFmt formatCode="General" sourceLinked="1"/>
        <c:majorTickMark val="out"/>
        <c:minorTickMark val="none"/>
        <c:tickLblPos val="nextTo"/>
        <c:crossAx val="101535744"/>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val>
            <c:numRef>
              <c:f>'Comparision successful Networks'!$C$5:$C$20</c:f>
              <c:numCache>
                <c:formatCode>General</c:formatCode>
                <c:ptCount val="16"/>
                <c:pt idx="0">
                  <c:v>1</c:v>
                </c:pt>
                <c:pt idx="1">
                  <c:v>6</c:v>
                </c:pt>
                <c:pt idx="2">
                  <c:v>12</c:v>
                </c:pt>
                <c:pt idx="3">
                  <c:v>58</c:v>
                </c:pt>
                <c:pt idx="4">
                  <c:v>145</c:v>
                </c:pt>
                <c:pt idx="5">
                  <c:v>360</c:v>
                </c:pt>
                <c:pt idx="6">
                  <c:v>608</c:v>
                </c:pt>
                <c:pt idx="7">
                  <c:v>845</c:v>
                </c:pt>
                <c:pt idx="8">
                  <c:v>1056</c:v>
                </c:pt>
                <c:pt idx="9">
                  <c:v>1230</c:v>
                </c:pt>
                <c:pt idx="10">
                  <c:v>1393</c:v>
                </c:pt>
                <c:pt idx="11">
                  <c:v>1591</c:v>
                </c:pt>
                <c:pt idx="12">
                  <c:v>1860</c:v>
                </c:pt>
                <c:pt idx="13">
                  <c:v>2072</c:v>
                </c:pt>
                <c:pt idx="14">
                  <c:v>2250</c:v>
                </c:pt>
                <c:pt idx="15">
                  <c:v>2450</c:v>
                </c:pt>
              </c:numCache>
            </c:numRef>
          </c:val>
          <c:smooth val="0"/>
        </c:ser>
        <c:ser>
          <c:idx val="1"/>
          <c:order val="1"/>
          <c:tx>
            <c:v>WhatsApp</c:v>
          </c:tx>
          <c:spPr>
            <a:ln>
              <a:solidFill>
                <a:srgbClr val="7030A0"/>
              </a:solidFill>
            </a:ln>
          </c:spPr>
          <c:marker>
            <c:symbol val="none"/>
          </c:marker>
          <c:val>
            <c:numRef>
              <c:f>'Comparision successful Networks'!$E$9:$E$18</c:f>
              <c:numCache>
                <c:formatCode>General</c:formatCode>
                <c:ptCount val="10"/>
                <c:pt idx="0">
                  <c:v>0.01</c:v>
                </c:pt>
                <c:pt idx="1">
                  <c:v>0.25</c:v>
                </c:pt>
                <c:pt idx="2">
                  <c:v>5</c:v>
                </c:pt>
                <c:pt idx="3">
                  <c:v>35</c:v>
                </c:pt>
                <c:pt idx="4">
                  <c:v>150</c:v>
                </c:pt>
                <c:pt idx="5">
                  <c:v>400</c:v>
                </c:pt>
                <c:pt idx="6">
                  <c:v>600</c:v>
                </c:pt>
                <c:pt idx="7">
                  <c:v>900</c:v>
                </c:pt>
                <c:pt idx="8">
                  <c:v>1000</c:v>
                </c:pt>
                <c:pt idx="9">
                  <c:v>1500</c:v>
                </c:pt>
              </c:numCache>
            </c:numRef>
          </c:val>
          <c:smooth val="0"/>
        </c:ser>
        <c:ser>
          <c:idx val="2"/>
          <c:order val="2"/>
          <c:tx>
            <c:v>WeChat</c:v>
          </c:tx>
          <c:spPr>
            <a:ln>
              <a:solidFill>
                <a:srgbClr val="FF0000"/>
              </a:solidFill>
            </a:ln>
          </c:spPr>
          <c:marker>
            <c:symbol val="none"/>
          </c:marker>
          <c:val>
            <c:numRef>
              <c:f>'Comparision successful Networks'!$G$12:$G$20</c:f>
              <c:numCache>
                <c:formatCode>General</c:formatCode>
                <c:ptCount val="9"/>
                <c:pt idx="0">
                  <c:v>50</c:v>
                </c:pt>
                <c:pt idx="1">
                  <c:v>160</c:v>
                </c:pt>
                <c:pt idx="2">
                  <c:v>355</c:v>
                </c:pt>
                <c:pt idx="3">
                  <c:v>500</c:v>
                </c:pt>
                <c:pt idx="4">
                  <c:v>697</c:v>
                </c:pt>
                <c:pt idx="5">
                  <c:v>889</c:v>
                </c:pt>
                <c:pt idx="6">
                  <c:v>980</c:v>
                </c:pt>
                <c:pt idx="7">
                  <c:v>1100</c:v>
                </c:pt>
                <c:pt idx="8">
                  <c:v>1160</c:v>
                </c:pt>
              </c:numCache>
            </c:numRef>
          </c:val>
          <c:smooth val="0"/>
        </c:ser>
        <c:ser>
          <c:idx val="3"/>
          <c:order val="3"/>
          <c:tx>
            <c:v>Instagram</c:v>
          </c:tx>
          <c:spPr>
            <a:ln>
              <a:solidFill>
                <a:srgbClr val="FFC000"/>
              </a:solidFill>
            </a:ln>
          </c:spPr>
          <c:marker>
            <c:symbol val="none"/>
          </c:marker>
          <c:val>
            <c:numRef>
              <c:f>'Comparision successful Networks'!$I$11:$I$19</c:f>
              <c:numCache>
                <c:formatCode>General</c:formatCode>
                <c:ptCount val="9"/>
                <c:pt idx="0">
                  <c:v>1</c:v>
                </c:pt>
                <c:pt idx="1">
                  <c:v>10</c:v>
                </c:pt>
                <c:pt idx="2">
                  <c:v>80</c:v>
                </c:pt>
                <c:pt idx="3">
                  <c:v>150</c:v>
                </c:pt>
                <c:pt idx="4">
                  <c:v>300</c:v>
                </c:pt>
                <c:pt idx="5">
                  <c:v>400</c:v>
                </c:pt>
                <c:pt idx="6">
                  <c:v>600</c:v>
                </c:pt>
                <c:pt idx="7">
                  <c:v>800</c:v>
                </c:pt>
                <c:pt idx="8">
                  <c:v>1000</c:v>
                </c:pt>
              </c:numCache>
            </c:numRef>
          </c:val>
          <c:smooth val="0"/>
        </c:ser>
        <c:ser>
          <c:idx val="4"/>
          <c:order val="4"/>
          <c:tx>
            <c:v>LinkedIn</c:v>
          </c:tx>
          <c:spPr>
            <a:ln>
              <a:solidFill>
                <a:schemeClr val="accent5">
                  <a:lumMod val="75000"/>
                </a:schemeClr>
              </a:solidFill>
            </a:ln>
          </c:spPr>
          <c:marker>
            <c:symbol val="none"/>
          </c:marker>
          <c:val>
            <c:numRef>
              <c:f>'Comparision successful Networks'!$K$4:$K$16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val>
            <c:numRef>
              <c:f>'Comparision successful Networks'!$M$7:$M$17</c:f>
              <c:numCache>
                <c:formatCode>General</c:formatCode>
                <c:ptCount val="11"/>
                <c:pt idx="0">
                  <c:v>1.6E-2</c:v>
                </c:pt>
                <c:pt idx="1">
                  <c:v>0.70199999999999996</c:v>
                </c:pt>
                <c:pt idx="2">
                  <c:v>4</c:v>
                </c:pt>
                <c:pt idx="3">
                  <c:v>18</c:v>
                </c:pt>
                <c:pt idx="4">
                  <c:v>54</c:v>
                </c:pt>
                <c:pt idx="5">
                  <c:v>117</c:v>
                </c:pt>
                <c:pt idx="6">
                  <c:v>185</c:v>
                </c:pt>
                <c:pt idx="7">
                  <c:v>241</c:v>
                </c:pt>
                <c:pt idx="8">
                  <c:v>288</c:v>
                </c:pt>
                <c:pt idx="9">
                  <c:v>305</c:v>
                </c:pt>
                <c:pt idx="10">
                  <c:v>319</c:v>
                </c:pt>
              </c:numCache>
            </c:numRef>
          </c:val>
          <c:smooth val="0"/>
        </c:ser>
        <c:ser>
          <c:idx val="6"/>
          <c:order val="6"/>
          <c:tx>
            <c:v>connect (We)</c:v>
          </c:tx>
          <c:spPr>
            <a:ln>
              <a:solidFill>
                <a:srgbClr val="6DC71B"/>
              </a:solidFill>
            </a:ln>
          </c:spPr>
          <c:marker>
            <c:symbol val="none"/>
          </c:marker>
          <c:val>
            <c:numRef>
              <c:f>'Comparision successful Networks'!$Q$21:$Q$26</c:f>
              <c:numCache>
                <c:formatCode>#,##0.00</c:formatCode>
                <c:ptCount val="6"/>
                <c:pt idx="0">
                  <c:v>5.5007231534220366E-2</c:v>
                </c:pt>
                <c:pt idx="1">
                  <c:v>0.26211723812496734</c:v>
                </c:pt>
                <c:pt idx="2">
                  <c:v>2.0163530394777931</c:v>
                </c:pt>
                <c:pt idx="3">
                  <c:v>5.8912056794336474</c:v>
                </c:pt>
                <c:pt idx="4">
                  <c:v>14.010941670429698</c:v>
                </c:pt>
                <c:pt idx="5">
                  <c:v>25.294677306404136</c:v>
                </c:pt>
              </c:numCache>
            </c:numRef>
          </c:val>
          <c:smooth val="0"/>
        </c:ser>
        <c:ser>
          <c:idx val="7"/>
          <c:order val="7"/>
          <c:tx>
            <c:v>connect (You)</c:v>
          </c:tx>
          <c:spPr>
            <a:ln>
              <a:solidFill>
                <a:schemeClr val="accent6">
                  <a:lumMod val="75000"/>
                </a:schemeClr>
              </a:solidFill>
            </a:ln>
          </c:spPr>
          <c:marker>
            <c:symbol val="none"/>
          </c:marker>
          <c:val>
            <c:numRef>
              <c:f>'Comparision successful Networks'!$O$21:$O$26</c:f>
              <c:numCache>
                <c:formatCode>#,##0.00</c:formatCode>
                <c:ptCount val="6"/>
                <c:pt idx="0">
                  <c:v>2.6787965261703416E-2</c:v>
                </c:pt>
                <c:pt idx="1">
                  <c:v>3.8454597338960603E-2</c:v>
                </c:pt>
                <c:pt idx="2">
                  <c:v>3.8454597338960603E-2</c:v>
                </c:pt>
                <c:pt idx="3">
                  <c:v>3.8454597338960603E-2</c:v>
                </c:pt>
                <c:pt idx="4">
                  <c:v>3.8454597338960603E-2</c:v>
                </c:pt>
                <c:pt idx="5">
                  <c:v>3.8454597338960603E-2</c:v>
                </c:pt>
              </c:numCache>
            </c:numRef>
          </c:val>
          <c:smooth val="0"/>
        </c:ser>
        <c:dLbls>
          <c:showLegendKey val="0"/>
          <c:showVal val="0"/>
          <c:showCatName val="0"/>
          <c:showSerName val="0"/>
          <c:showPercent val="0"/>
          <c:showBubbleSize val="0"/>
        </c:dLbls>
        <c:marker val="1"/>
        <c:smooth val="0"/>
        <c:axId val="101537792"/>
        <c:axId val="173963456"/>
      </c:lineChart>
      <c:catAx>
        <c:axId val="101537792"/>
        <c:scaling>
          <c:orientation val="minMax"/>
        </c:scaling>
        <c:delete val="0"/>
        <c:axPos val="b"/>
        <c:numFmt formatCode="General" sourceLinked="1"/>
        <c:majorTickMark val="out"/>
        <c:minorTickMark val="none"/>
        <c:tickLblPos val="nextTo"/>
        <c:crossAx val="173963456"/>
        <c:crosses val="autoZero"/>
        <c:auto val="1"/>
        <c:lblAlgn val="ctr"/>
        <c:lblOffset val="100"/>
        <c:noMultiLvlLbl val="0"/>
      </c:catAx>
      <c:valAx>
        <c:axId val="173963456"/>
        <c:scaling>
          <c:orientation val="minMax"/>
        </c:scaling>
        <c:delete val="0"/>
        <c:axPos val="l"/>
        <c:majorGridlines/>
        <c:numFmt formatCode="General" sourceLinked="1"/>
        <c:majorTickMark val="out"/>
        <c:minorTickMark val="none"/>
        <c:tickLblPos val="nextTo"/>
        <c:crossAx val="101537792"/>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Networks'!$C$4:$C$20</c:f>
              <c:numCache>
                <c:formatCode>General</c:formatCode>
                <c:ptCount val="17"/>
                <c:pt idx="0">
                  <c:v>0</c:v>
                </c:pt>
                <c:pt idx="1">
                  <c:v>1</c:v>
                </c:pt>
                <c:pt idx="2">
                  <c:v>6</c:v>
                </c:pt>
                <c:pt idx="3">
                  <c:v>12</c:v>
                </c:pt>
                <c:pt idx="4">
                  <c:v>58</c:v>
                </c:pt>
                <c:pt idx="5">
                  <c:v>145</c:v>
                </c:pt>
                <c:pt idx="6">
                  <c:v>360</c:v>
                </c:pt>
                <c:pt idx="7">
                  <c:v>608</c:v>
                </c:pt>
                <c:pt idx="8">
                  <c:v>845</c:v>
                </c:pt>
                <c:pt idx="9">
                  <c:v>1056</c:v>
                </c:pt>
                <c:pt idx="10">
                  <c:v>1230</c:v>
                </c:pt>
                <c:pt idx="11">
                  <c:v>1393</c:v>
                </c:pt>
                <c:pt idx="12">
                  <c:v>1591</c:v>
                </c:pt>
                <c:pt idx="13">
                  <c:v>1860</c:v>
                </c:pt>
                <c:pt idx="14">
                  <c:v>2072</c:v>
                </c:pt>
                <c:pt idx="15">
                  <c:v>2250</c:v>
                </c:pt>
                <c:pt idx="16">
                  <c:v>2450</c:v>
                </c:pt>
              </c:numCache>
            </c:numRef>
          </c:val>
          <c:smooth val="0"/>
        </c:ser>
        <c:ser>
          <c:idx val="1"/>
          <c:order val="1"/>
          <c:tx>
            <c:v>WhatsApp</c:v>
          </c:tx>
          <c:spPr>
            <a:ln>
              <a:solidFill>
                <a:srgbClr val="7030A0"/>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Networks'!$E$4:$E$18</c:f>
              <c:numCache>
                <c:formatCode>General</c:formatCode>
                <c:ptCount val="15"/>
                <c:pt idx="0">
                  <c:v>0</c:v>
                </c:pt>
                <c:pt idx="1">
                  <c:v>0</c:v>
                </c:pt>
                <c:pt idx="2">
                  <c:v>0</c:v>
                </c:pt>
                <c:pt idx="3">
                  <c:v>0</c:v>
                </c:pt>
                <c:pt idx="4">
                  <c:v>0</c:v>
                </c:pt>
                <c:pt idx="5">
                  <c:v>0.01</c:v>
                </c:pt>
                <c:pt idx="6">
                  <c:v>0.25</c:v>
                </c:pt>
                <c:pt idx="7">
                  <c:v>5</c:v>
                </c:pt>
                <c:pt idx="8">
                  <c:v>35</c:v>
                </c:pt>
                <c:pt idx="9">
                  <c:v>150</c:v>
                </c:pt>
                <c:pt idx="10">
                  <c:v>400</c:v>
                </c:pt>
                <c:pt idx="11">
                  <c:v>600</c:v>
                </c:pt>
                <c:pt idx="12">
                  <c:v>900</c:v>
                </c:pt>
                <c:pt idx="13">
                  <c:v>1000</c:v>
                </c:pt>
                <c:pt idx="14">
                  <c:v>1500</c:v>
                </c:pt>
              </c:numCache>
            </c:numRef>
          </c:val>
          <c:smooth val="0"/>
        </c:ser>
        <c:ser>
          <c:idx val="2"/>
          <c:order val="2"/>
          <c:tx>
            <c:v>WeChat</c:v>
          </c:tx>
          <c:spPr>
            <a:ln>
              <a:solidFill>
                <a:srgbClr val="FF0000"/>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Networks'!$G$4:$G$20</c:f>
              <c:numCache>
                <c:formatCode>General</c:formatCode>
                <c:ptCount val="17"/>
                <c:pt idx="0">
                  <c:v>0</c:v>
                </c:pt>
                <c:pt idx="1">
                  <c:v>0</c:v>
                </c:pt>
                <c:pt idx="2">
                  <c:v>0</c:v>
                </c:pt>
                <c:pt idx="3">
                  <c:v>0</c:v>
                </c:pt>
                <c:pt idx="4">
                  <c:v>0</c:v>
                </c:pt>
                <c:pt idx="5">
                  <c:v>0</c:v>
                </c:pt>
                <c:pt idx="6">
                  <c:v>0</c:v>
                </c:pt>
                <c:pt idx="7">
                  <c:v>0</c:v>
                </c:pt>
                <c:pt idx="8">
                  <c:v>50</c:v>
                </c:pt>
                <c:pt idx="9">
                  <c:v>160</c:v>
                </c:pt>
                <c:pt idx="10">
                  <c:v>355</c:v>
                </c:pt>
                <c:pt idx="11">
                  <c:v>500</c:v>
                </c:pt>
                <c:pt idx="12">
                  <c:v>697</c:v>
                </c:pt>
                <c:pt idx="13">
                  <c:v>889</c:v>
                </c:pt>
                <c:pt idx="14">
                  <c:v>980</c:v>
                </c:pt>
                <c:pt idx="15">
                  <c:v>1100</c:v>
                </c:pt>
                <c:pt idx="16">
                  <c:v>1160</c:v>
                </c:pt>
              </c:numCache>
            </c:numRef>
          </c:val>
          <c:smooth val="0"/>
        </c:ser>
        <c:ser>
          <c:idx val="3"/>
          <c:order val="3"/>
          <c:tx>
            <c:v>Instagram</c:v>
          </c:tx>
          <c:spPr>
            <a:ln>
              <a:solidFill>
                <a:srgbClr val="F7DB31"/>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Networks'!$I$4:$I$19</c:f>
              <c:numCache>
                <c:formatCode>General</c:formatCode>
                <c:ptCount val="16"/>
                <c:pt idx="0">
                  <c:v>0</c:v>
                </c:pt>
                <c:pt idx="1">
                  <c:v>0</c:v>
                </c:pt>
                <c:pt idx="2">
                  <c:v>0</c:v>
                </c:pt>
                <c:pt idx="3">
                  <c:v>0</c:v>
                </c:pt>
                <c:pt idx="4">
                  <c:v>0</c:v>
                </c:pt>
                <c:pt idx="5">
                  <c:v>0</c:v>
                </c:pt>
                <c:pt idx="6">
                  <c:v>0</c:v>
                </c:pt>
                <c:pt idx="7">
                  <c:v>1</c:v>
                </c:pt>
                <c:pt idx="8">
                  <c:v>10</c:v>
                </c:pt>
                <c:pt idx="9">
                  <c:v>80</c:v>
                </c:pt>
                <c:pt idx="10">
                  <c:v>150</c:v>
                </c:pt>
                <c:pt idx="11">
                  <c:v>300</c:v>
                </c:pt>
                <c:pt idx="12">
                  <c:v>400</c:v>
                </c:pt>
                <c:pt idx="13">
                  <c:v>600</c:v>
                </c:pt>
                <c:pt idx="14">
                  <c:v>800</c:v>
                </c:pt>
                <c:pt idx="15">
                  <c:v>1000</c:v>
                </c:pt>
              </c:numCache>
            </c:numRef>
          </c:val>
          <c:smooth val="0"/>
        </c:ser>
        <c:ser>
          <c:idx val="4"/>
          <c:order val="4"/>
          <c:tx>
            <c:v>LinkedIn</c:v>
          </c:tx>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Networks'!$M$4:$M$17</c:f>
              <c:numCache>
                <c:formatCode>General</c:formatCode>
                <c:ptCount val="14"/>
                <c:pt idx="0">
                  <c:v>0</c:v>
                </c:pt>
                <c:pt idx="1">
                  <c:v>0</c:v>
                </c:pt>
                <c:pt idx="2">
                  <c:v>0</c:v>
                </c:pt>
                <c:pt idx="3">
                  <c:v>1.6E-2</c:v>
                </c:pt>
                <c:pt idx="4">
                  <c:v>0.70199999999999996</c:v>
                </c:pt>
                <c:pt idx="5">
                  <c:v>4</c:v>
                </c:pt>
                <c:pt idx="6">
                  <c:v>18</c:v>
                </c:pt>
                <c:pt idx="7">
                  <c:v>54</c:v>
                </c:pt>
                <c:pt idx="8">
                  <c:v>117</c:v>
                </c:pt>
                <c:pt idx="9">
                  <c:v>185</c:v>
                </c:pt>
                <c:pt idx="10">
                  <c:v>241</c:v>
                </c:pt>
                <c:pt idx="11">
                  <c:v>288</c:v>
                </c:pt>
                <c:pt idx="12">
                  <c:v>305</c:v>
                </c:pt>
                <c:pt idx="13">
                  <c:v>319</c:v>
                </c:pt>
              </c:numCache>
            </c:numRef>
          </c:val>
          <c:smooth val="0"/>
        </c:ser>
        <c:ser>
          <c:idx val="7"/>
          <c:order val="6"/>
          <c:tx>
            <c:v>connect (You)</c:v>
          </c:tx>
          <c:spPr>
            <a:ln>
              <a:solidFill>
                <a:schemeClr val="accent6">
                  <a:lumMod val="75000"/>
                </a:schemeClr>
              </a:solidFill>
            </a:ln>
          </c:spPr>
          <c:marker>
            <c:symbol val="none"/>
          </c:marker>
          <c:val>
            <c:numRef>
              <c:f>'Comparision successful Networks'!$O$4:$O$26</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formatCode="#,##0.00">
                  <c:v>2.6787965261703416E-2</c:v>
                </c:pt>
                <c:pt idx="18" formatCode="#,##0.00">
                  <c:v>3.8454597338960603E-2</c:v>
                </c:pt>
                <c:pt idx="19" formatCode="#,##0.00">
                  <c:v>3.8454597338960603E-2</c:v>
                </c:pt>
                <c:pt idx="20" formatCode="#,##0.00">
                  <c:v>3.8454597338960603E-2</c:v>
                </c:pt>
                <c:pt idx="21" formatCode="#,##0.00">
                  <c:v>3.8454597338960603E-2</c:v>
                </c:pt>
                <c:pt idx="22" formatCode="#,##0.00">
                  <c:v>3.8454597338960603E-2</c:v>
                </c:pt>
              </c:numCache>
            </c:numRef>
          </c:val>
          <c:smooth val="0"/>
        </c:ser>
        <c:ser>
          <c:idx val="8"/>
          <c:order val="7"/>
          <c:tx>
            <c:v>connect Realistic</c:v>
          </c:tx>
          <c:spPr>
            <a:ln>
              <a:solidFill>
                <a:srgbClr val="6DC71B"/>
              </a:solidFill>
            </a:ln>
          </c:spPr>
          <c:marker>
            <c:symbol val="none"/>
          </c:marker>
          <c:val>
            <c:numRef>
              <c:f>'Comparision successful Networks'!$Q$4:$Q$26</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formatCode="#,##0.00">
                  <c:v>5.5007231534220366E-2</c:v>
                </c:pt>
                <c:pt idx="18" formatCode="#,##0.00">
                  <c:v>0.26211723812496734</c:v>
                </c:pt>
                <c:pt idx="19" formatCode="#,##0.00">
                  <c:v>2.0163530394777931</c:v>
                </c:pt>
                <c:pt idx="20" formatCode="#,##0.00">
                  <c:v>5.8912056794336474</c:v>
                </c:pt>
                <c:pt idx="21" formatCode="#,##0.00">
                  <c:v>14.010941670429698</c:v>
                </c:pt>
                <c:pt idx="22" formatCode="#,##0.00">
                  <c:v>25.294677306404136</c:v>
                </c:pt>
              </c:numCache>
            </c:numRef>
          </c:val>
          <c:smooth val="0"/>
        </c:ser>
        <c:ser>
          <c:idx val="6"/>
          <c:order val="8"/>
          <c:tx>
            <c:v>connect Cautious</c:v>
          </c:tx>
          <c:spPr>
            <a:ln>
              <a:solidFill>
                <a:srgbClr val="CC66FF"/>
              </a:solidFill>
            </a:ln>
          </c:spPr>
          <c:marker>
            <c:symbol val="none"/>
          </c:marker>
          <c:val>
            <c:numRef>
              <c:f>'Comparision successful Networks'!$S$4:$S$26</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formatCode="#,##0.00">
                  <c:v>3.3585002128095578E-2</c:v>
                </c:pt>
                <c:pt idx="18" formatCode="#,##0.00">
                  <c:v>0.10428894296394459</c:v>
                </c:pt>
                <c:pt idx="19" formatCode="#,##0.00">
                  <c:v>0.41549386781715836</c:v>
                </c:pt>
                <c:pt idx="20" formatCode="#,##0.00">
                  <c:v>0.9093652633005842</c:v>
                </c:pt>
                <c:pt idx="21" formatCode="#,##0.00">
                  <c:v>2.9351818902063194</c:v>
                </c:pt>
                <c:pt idx="22" formatCode="#,##0.00">
                  <c:v>5.7482580720707679</c:v>
                </c:pt>
              </c:numCache>
            </c:numRef>
          </c:val>
          <c:smooth val="0"/>
        </c:ser>
        <c:ser>
          <c:idx val="9"/>
          <c:order val="9"/>
          <c:tx>
            <c:v>connect Optimistic</c:v>
          </c:tx>
          <c:spPr>
            <a:ln>
              <a:solidFill>
                <a:srgbClr val="66FFCC"/>
              </a:solidFill>
            </a:ln>
          </c:spPr>
          <c:marker>
            <c:symbol val="none"/>
          </c:marker>
          <c:val>
            <c:numRef>
              <c:f>'Comparision successful Networks'!$U$4:$U$26</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formatCode="#,##0.00">
                  <c:v>6.9407414864748163E-2</c:v>
                </c:pt>
                <c:pt idx="18" formatCode="#,##0.00">
                  <c:v>0.47735846255868269</c:v>
                </c:pt>
                <c:pt idx="19" formatCode="#,##0.00">
                  <c:v>4.6260310702250429</c:v>
                </c:pt>
                <c:pt idx="20" formatCode="#,##0.00">
                  <c:v>12.934813317469544</c:v>
                </c:pt>
                <c:pt idx="21" formatCode="#,##0.00">
                  <c:v>26.667311902213129</c:v>
                </c:pt>
                <c:pt idx="22" formatCode="#,##0.00">
                  <c:v>46.166558381533548</c:v>
                </c:pt>
              </c:numCache>
            </c:numRef>
          </c:val>
          <c:smooth val="0"/>
        </c:ser>
        <c:ser>
          <c:idx val="10"/>
          <c:order val="10"/>
          <c:tx>
            <c:v>connect Pessimistic</c:v>
          </c:tx>
          <c:spPr>
            <a:ln>
              <a:solidFill>
                <a:schemeClr val="accent6">
                  <a:lumMod val="75000"/>
                </a:schemeClr>
              </a:solidFill>
            </a:ln>
          </c:spPr>
          <c:marker>
            <c:symbol val="none"/>
          </c:marker>
          <c:val>
            <c:numRef>
              <c:f>'Comparision successful Networks'!$W$4:$W$26</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formatCode="#,##0.00">
                  <c:v>1.2414843703027423E-2</c:v>
                </c:pt>
                <c:pt idx="18" formatCode="#,##0.00">
                  <c:v>2.4539785133050454E-2</c:v>
                </c:pt>
                <c:pt idx="19" formatCode="#,##0.00">
                  <c:v>3.8404845540640886E-2</c:v>
                </c:pt>
                <c:pt idx="20" formatCode="#,##0.00">
                  <c:v>0.10950545177063169</c:v>
                </c:pt>
                <c:pt idx="21" formatCode="#,##0.00">
                  <c:v>0.21292123482655098</c:v>
                </c:pt>
                <c:pt idx="22" formatCode="#,##0.00">
                  <c:v>0.3092380271997755</c:v>
                </c:pt>
              </c:numCache>
            </c:numRef>
          </c:val>
          <c:smooth val="0"/>
        </c:ser>
        <c:ser>
          <c:idx val="11"/>
          <c:order val="11"/>
          <c:tx>
            <c:v>connect Worst Case</c:v>
          </c:tx>
          <c:spPr>
            <a:ln>
              <a:solidFill>
                <a:srgbClr val="C00000"/>
              </a:solidFill>
            </a:ln>
          </c:spPr>
          <c:marker>
            <c:symbol val="none"/>
          </c:marker>
          <c:val>
            <c:numRef>
              <c:f>'Comparision successful Networks'!$Y$4:$Y$26</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formatCode="#,##0.00">
                  <c:v>1.0865521167239923E-2</c:v>
                </c:pt>
                <c:pt idx="18" formatCode="#,##0.00">
                  <c:v>1.9524335023017342E-2</c:v>
                </c:pt>
                <c:pt idx="19" formatCode="#,##0.00">
                  <c:v>3.0078977575977203E-2</c:v>
                </c:pt>
                <c:pt idx="20" formatCode="#,##0.00">
                  <c:v>9.1586845292634722E-2</c:v>
                </c:pt>
                <c:pt idx="21" formatCode="#,##0.00">
                  <c:v>0.14811168729115032</c:v>
                </c:pt>
                <c:pt idx="22" formatCode="#,##0.00">
                  <c:v>0.19523351423873583</c:v>
                </c:pt>
              </c:numCache>
            </c:numRef>
          </c:val>
          <c:smooth val="0"/>
        </c:ser>
        <c:ser>
          <c:idx val="12"/>
          <c:order val="12"/>
          <c:tx>
            <c:v>connect Possible</c:v>
          </c:tx>
          <c:spPr>
            <a:ln>
              <a:solidFill>
                <a:schemeClr val="accent2">
                  <a:lumMod val="60000"/>
                  <a:lumOff val="40000"/>
                </a:schemeClr>
              </a:solidFill>
            </a:ln>
          </c:spPr>
          <c:marker>
            <c:symbol val="none"/>
          </c:marker>
          <c:val>
            <c:numRef>
              <c:f>'Comparision successful Networks'!$AA$4:$AA$26</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formatCode="#,##0.00">
                  <c:v>9.425171786550926E-2</c:v>
                </c:pt>
                <c:pt idx="18" formatCode="#,##0.00">
                  <c:v>1.6694915514034163</c:v>
                </c:pt>
                <c:pt idx="19" formatCode="#,##0.00">
                  <c:v>28.189692922394492</c:v>
                </c:pt>
                <c:pt idx="20" formatCode="#,##0.00">
                  <c:v>86.319407701136385</c:v>
                </c:pt>
                <c:pt idx="21" formatCode="#,##0.00">
                  <c:v>217.00476397413163</c:v>
                </c:pt>
                <c:pt idx="22" formatCode="#,##0.00">
                  <c:v>401.64612440556323</c:v>
                </c:pt>
              </c:numCache>
            </c:numRef>
          </c:val>
          <c:smooth val="0"/>
        </c:ser>
        <c:dLbls>
          <c:showLegendKey val="0"/>
          <c:showVal val="0"/>
          <c:showCatName val="0"/>
          <c:showSerName val="0"/>
          <c:showPercent val="0"/>
          <c:showBubbleSize val="0"/>
        </c:dLbls>
        <c:marker val="1"/>
        <c:smooth val="0"/>
        <c:axId val="101538816"/>
        <c:axId val="141911168"/>
      </c:lineChart>
      <c:catAx>
        <c:axId val="101538816"/>
        <c:scaling>
          <c:orientation val="minMax"/>
        </c:scaling>
        <c:delete val="0"/>
        <c:axPos val="b"/>
        <c:numFmt formatCode="@" sourceLinked="0"/>
        <c:majorTickMark val="out"/>
        <c:minorTickMark val="none"/>
        <c:tickLblPos val="nextTo"/>
        <c:crossAx val="141911168"/>
        <c:crosses val="autoZero"/>
        <c:auto val="1"/>
        <c:lblAlgn val="ctr"/>
        <c:lblOffset val="100"/>
        <c:noMultiLvlLbl val="0"/>
      </c:catAx>
      <c:valAx>
        <c:axId val="141911168"/>
        <c:scaling>
          <c:orientation val="minMax"/>
        </c:scaling>
        <c:delete val="0"/>
        <c:axPos val="l"/>
        <c:majorGridlines/>
        <c:numFmt formatCode="General" sourceLinked="1"/>
        <c:majorTickMark val="out"/>
        <c:minorTickMark val="none"/>
        <c:tickLblPos val="nextTo"/>
        <c:crossAx val="101538816"/>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User</c:v>
          </c:tx>
          <c:spPr>
            <a:solidFill>
              <a:schemeClr val="tx2">
                <a:lumMod val="60000"/>
                <a:lumOff val="40000"/>
              </a:schemeClr>
            </a:solidFill>
          </c:spPr>
          <c:invertIfNegative val="0"/>
          <c:cat>
            <c:strRef>
              <c:f>Optimistic!$B$260:$I$260</c:f>
              <c:strCache>
                <c:ptCount val="8"/>
                <c:pt idx="0">
                  <c:v>Q1 2020</c:v>
                </c:pt>
                <c:pt idx="1">
                  <c:v>Q2 2020</c:v>
                </c:pt>
                <c:pt idx="2">
                  <c:v>Q3 2020</c:v>
                </c:pt>
                <c:pt idx="3">
                  <c:v>Q4 2020</c:v>
                </c:pt>
                <c:pt idx="4">
                  <c:v>Q1 2021</c:v>
                </c:pt>
                <c:pt idx="5">
                  <c:v>Q2 2021</c:v>
                </c:pt>
                <c:pt idx="6">
                  <c:v>Q3 2021</c:v>
                </c:pt>
                <c:pt idx="7">
                  <c:v>Q4 2021</c:v>
                </c:pt>
              </c:strCache>
            </c:strRef>
          </c:cat>
          <c:val>
            <c:numRef>
              <c:f>(Optimistic!$F$18:$I$18,Optimistic!$K$18:$N$18)</c:f>
              <c:numCache>
                <c:formatCode>#,##0</c:formatCode>
                <c:ptCount val="8"/>
                <c:pt idx="0">
                  <c:v>2145.2140738464004</c:v>
                </c:pt>
                <c:pt idx="1">
                  <c:v>5119.0141529075154</c:v>
                </c:pt>
                <c:pt idx="2">
                  <c:v>32297.677097990789</c:v>
                </c:pt>
                <c:pt idx="3">
                  <c:v>69407.414864748163</c:v>
                </c:pt>
                <c:pt idx="4">
                  <c:v>118517.03135999136</c:v>
                </c:pt>
                <c:pt idx="5">
                  <c:v>186700.46146887477</c:v>
                </c:pt>
                <c:pt idx="6">
                  <c:v>293120.46325769211</c:v>
                </c:pt>
                <c:pt idx="7">
                  <c:v>477358.46255868272</c:v>
                </c:pt>
              </c:numCache>
            </c:numRef>
          </c:val>
        </c:ser>
        <c:ser>
          <c:idx val="1"/>
          <c:order val="1"/>
          <c:tx>
            <c:v>Income</c:v>
          </c:tx>
          <c:spPr>
            <a:solidFill>
              <a:srgbClr val="6DC71B"/>
            </a:solidFill>
          </c:spPr>
          <c:invertIfNegative val="0"/>
          <c:cat>
            <c:strRef>
              <c:f>Optimistic!$B$260:$I$260</c:f>
              <c:strCache>
                <c:ptCount val="8"/>
                <c:pt idx="0">
                  <c:v>Q1 2020</c:v>
                </c:pt>
                <c:pt idx="1">
                  <c:v>Q2 2020</c:v>
                </c:pt>
                <c:pt idx="2">
                  <c:v>Q3 2020</c:v>
                </c:pt>
                <c:pt idx="3">
                  <c:v>Q4 2020</c:v>
                </c:pt>
                <c:pt idx="4">
                  <c:v>Q1 2021</c:v>
                </c:pt>
                <c:pt idx="5">
                  <c:v>Q2 2021</c:v>
                </c:pt>
                <c:pt idx="6">
                  <c:v>Q3 2021</c:v>
                </c:pt>
                <c:pt idx="7">
                  <c:v>Q4 2021</c:v>
                </c:pt>
              </c:strCache>
            </c:strRef>
          </c:cat>
          <c:val>
            <c:numRef>
              <c:f>(Optimistic!$F$30:$I$30,Optimistic!$K$30:$N$30)</c:f>
              <c:numCache>
                <c:formatCode>#,##0\ "€"</c:formatCode>
                <c:ptCount val="8"/>
                <c:pt idx="0">
                  <c:v>0</c:v>
                </c:pt>
                <c:pt idx="1">
                  <c:v>0</c:v>
                </c:pt>
                <c:pt idx="2">
                  <c:v>33834.890428193816</c:v>
                </c:pt>
                <c:pt idx="3">
                  <c:v>158875.46180364248</c:v>
                </c:pt>
                <c:pt idx="4">
                  <c:v>408076.87300501106</c:v>
                </c:pt>
                <c:pt idx="5">
                  <c:v>843410.22648391593</c:v>
                </c:pt>
                <c:pt idx="6">
                  <c:v>1618485.9704760127</c:v>
                </c:pt>
                <c:pt idx="7">
                  <c:v>3084163.4725068966</c:v>
                </c:pt>
              </c:numCache>
            </c:numRef>
          </c:val>
        </c:ser>
        <c:ser>
          <c:idx val="2"/>
          <c:order val="2"/>
          <c:tx>
            <c:v>Expenses</c:v>
          </c:tx>
          <c:spPr>
            <a:solidFill>
              <a:srgbClr val="FF0000"/>
            </a:solidFill>
          </c:spPr>
          <c:invertIfNegative val="0"/>
          <c:cat>
            <c:strRef>
              <c:f>Optimistic!$B$260:$I$260</c:f>
              <c:strCache>
                <c:ptCount val="8"/>
                <c:pt idx="0">
                  <c:v>Q1 2020</c:v>
                </c:pt>
                <c:pt idx="1">
                  <c:v>Q2 2020</c:v>
                </c:pt>
                <c:pt idx="2">
                  <c:v>Q3 2020</c:v>
                </c:pt>
                <c:pt idx="3">
                  <c:v>Q4 2020</c:v>
                </c:pt>
                <c:pt idx="4">
                  <c:v>Q1 2021</c:v>
                </c:pt>
                <c:pt idx="5">
                  <c:v>Q2 2021</c:v>
                </c:pt>
                <c:pt idx="6">
                  <c:v>Q3 2021</c:v>
                </c:pt>
                <c:pt idx="7">
                  <c:v>Q4 2021</c:v>
                </c:pt>
              </c:strCache>
            </c:strRef>
          </c:cat>
          <c:val>
            <c:numRef>
              <c:f>(Optimistic!$F$47:$I$47,Optimistic!$K$47:$N$47)</c:f>
              <c:numCache>
                <c:formatCode>#,##0\ "€"</c:formatCode>
                <c:ptCount val="8"/>
                <c:pt idx="0">
                  <c:v>132082.35642221541</c:v>
                </c:pt>
                <c:pt idx="1">
                  <c:v>164168.57042458723</c:v>
                </c:pt>
                <c:pt idx="2">
                  <c:v>181632.26018698377</c:v>
                </c:pt>
                <c:pt idx="3">
                  <c:v>256538.24658410822</c:v>
                </c:pt>
                <c:pt idx="4">
                  <c:v>471592.42512322171</c:v>
                </c:pt>
                <c:pt idx="5">
                  <c:v>835306.5905212888</c:v>
                </c:pt>
                <c:pt idx="6">
                  <c:v>1488704.1577943664</c:v>
                </c:pt>
                <c:pt idx="7">
                  <c:v>2628586.0303277425</c:v>
                </c:pt>
              </c:numCache>
            </c:numRef>
          </c:val>
        </c:ser>
        <c:ser>
          <c:idx val="3"/>
          <c:order val="3"/>
          <c:tx>
            <c:v>Result</c:v>
          </c:tx>
          <c:spPr>
            <a:solidFill>
              <a:srgbClr val="FFC000"/>
            </a:solidFill>
          </c:spPr>
          <c:invertIfNegative val="0"/>
          <c:cat>
            <c:strRef>
              <c:f>Optimistic!$B$260:$I$260</c:f>
              <c:strCache>
                <c:ptCount val="8"/>
                <c:pt idx="0">
                  <c:v>Q1 2020</c:v>
                </c:pt>
                <c:pt idx="1">
                  <c:v>Q2 2020</c:v>
                </c:pt>
                <c:pt idx="2">
                  <c:v>Q3 2020</c:v>
                </c:pt>
                <c:pt idx="3">
                  <c:v>Q4 2020</c:v>
                </c:pt>
                <c:pt idx="4">
                  <c:v>Q1 2021</c:v>
                </c:pt>
                <c:pt idx="5">
                  <c:v>Q2 2021</c:v>
                </c:pt>
                <c:pt idx="6">
                  <c:v>Q3 2021</c:v>
                </c:pt>
                <c:pt idx="7">
                  <c:v>Q4 2021</c:v>
                </c:pt>
              </c:strCache>
            </c:strRef>
          </c:cat>
          <c:val>
            <c:numRef>
              <c:f>(Optimistic!$F$49:$I$49,Optimistic!$K$49:$N$49)</c:f>
              <c:numCache>
                <c:formatCode>#,##0\ "€"</c:formatCode>
                <c:ptCount val="8"/>
                <c:pt idx="0">
                  <c:v>-132082.35642221541</c:v>
                </c:pt>
                <c:pt idx="1">
                  <c:v>-164168.57042458723</c:v>
                </c:pt>
                <c:pt idx="2">
                  <c:v>-147797.36975878995</c:v>
                </c:pt>
                <c:pt idx="3">
                  <c:v>-97662.784780465736</c:v>
                </c:pt>
                <c:pt idx="4">
                  <c:v>-63515.552118210646</c:v>
                </c:pt>
                <c:pt idx="5">
                  <c:v>8103.6359626271296</c:v>
                </c:pt>
                <c:pt idx="6">
                  <c:v>129781.81268164632</c:v>
                </c:pt>
                <c:pt idx="7">
                  <c:v>455577.44217915414</c:v>
                </c:pt>
              </c:numCache>
            </c:numRef>
          </c:val>
        </c:ser>
        <c:dLbls>
          <c:showLegendKey val="0"/>
          <c:showVal val="0"/>
          <c:showCatName val="0"/>
          <c:showSerName val="0"/>
          <c:showPercent val="0"/>
          <c:showBubbleSize val="0"/>
        </c:dLbls>
        <c:gapWidth val="150"/>
        <c:axId val="102211584"/>
        <c:axId val="140330688"/>
      </c:barChart>
      <c:catAx>
        <c:axId val="102211584"/>
        <c:scaling>
          <c:orientation val="minMax"/>
        </c:scaling>
        <c:delete val="0"/>
        <c:axPos val="b"/>
        <c:majorTickMark val="out"/>
        <c:minorTickMark val="none"/>
        <c:tickLblPos val="nextTo"/>
        <c:crossAx val="140330688"/>
        <c:crosses val="autoZero"/>
        <c:auto val="1"/>
        <c:lblAlgn val="ctr"/>
        <c:lblOffset val="100"/>
        <c:noMultiLvlLbl val="0"/>
      </c:catAx>
      <c:valAx>
        <c:axId val="140330688"/>
        <c:scaling>
          <c:orientation val="minMax"/>
        </c:scaling>
        <c:delete val="0"/>
        <c:axPos val="l"/>
        <c:majorGridlines/>
        <c:numFmt formatCode="#,##0" sourceLinked="1"/>
        <c:majorTickMark val="out"/>
        <c:minorTickMark val="none"/>
        <c:tickLblPos val="nextTo"/>
        <c:crossAx val="102211584"/>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User</c:v>
          </c:tx>
          <c:spPr>
            <a:solidFill>
              <a:schemeClr val="tx2">
                <a:lumMod val="60000"/>
                <a:lumOff val="40000"/>
              </a:schemeClr>
            </a:solidFill>
          </c:spPr>
          <c:invertIfNegative val="0"/>
          <c:cat>
            <c:strRef>
              <c:f>Optimistic!$J$260:$P$260</c:f>
              <c:strCache>
                <c:ptCount val="7"/>
                <c:pt idx="0">
                  <c:v>Q1 2022</c:v>
                </c:pt>
                <c:pt idx="1">
                  <c:v>Q2 2022</c:v>
                </c:pt>
                <c:pt idx="2">
                  <c:v>Q3 2022</c:v>
                </c:pt>
                <c:pt idx="3">
                  <c:v>Q4 2022</c:v>
                </c:pt>
                <c:pt idx="4">
                  <c:v>2023</c:v>
                </c:pt>
                <c:pt idx="5">
                  <c:v>2024</c:v>
                </c:pt>
                <c:pt idx="6">
                  <c:v>2025</c:v>
                </c:pt>
              </c:strCache>
            </c:strRef>
          </c:cat>
          <c:val>
            <c:numRef>
              <c:f>(Optimistic!$P$18:$S$18,Optimistic!$V$18:$X$18)</c:f>
              <c:numCache>
                <c:formatCode>#,##0</c:formatCode>
                <c:ptCount val="7"/>
                <c:pt idx="0">
                  <c:v>799568.76883937756</c:v>
                </c:pt>
                <c:pt idx="1">
                  <c:v>1379283.9202390704</c:v>
                </c:pt>
                <c:pt idx="2">
                  <c:v>2485885.0244178502</c:v>
                </c:pt>
                <c:pt idx="3">
                  <c:v>4626031.0702250432</c:v>
                </c:pt>
                <c:pt idx="4">
                  <c:v>12934813.317469545</c:v>
                </c:pt>
                <c:pt idx="5">
                  <c:v>26667311.90221313</c:v>
                </c:pt>
                <c:pt idx="6">
                  <c:v>46166558.381533548</c:v>
                </c:pt>
              </c:numCache>
            </c:numRef>
          </c:val>
        </c:ser>
        <c:ser>
          <c:idx val="1"/>
          <c:order val="1"/>
          <c:tx>
            <c:v>Income</c:v>
          </c:tx>
          <c:spPr>
            <a:solidFill>
              <a:srgbClr val="6DC71B"/>
            </a:solidFill>
          </c:spPr>
          <c:invertIfNegative val="0"/>
          <c:cat>
            <c:strRef>
              <c:f>Optimistic!$J$260:$P$260</c:f>
              <c:strCache>
                <c:ptCount val="7"/>
                <c:pt idx="0">
                  <c:v>Q1 2022</c:v>
                </c:pt>
                <c:pt idx="1">
                  <c:v>Q2 2022</c:v>
                </c:pt>
                <c:pt idx="2">
                  <c:v>Q3 2022</c:v>
                </c:pt>
                <c:pt idx="3">
                  <c:v>Q4 2022</c:v>
                </c:pt>
                <c:pt idx="4">
                  <c:v>2023</c:v>
                </c:pt>
                <c:pt idx="5">
                  <c:v>2024</c:v>
                </c:pt>
                <c:pt idx="6">
                  <c:v>2025</c:v>
                </c:pt>
              </c:strCache>
            </c:strRef>
          </c:cat>
          <c:val>
            <c:numRef>
              <c:f>(Optimistic!$P$30:$S$30,Optimistic!$V$30:$X$30)</c:f>
              <c:numCache>
                <c:formatCode>#,##0\ "€"</c:formatCode>
                <c:ptCount val="7"/>
                <c:pt idx="0">
                  <c:v>6184785.9468920901</c:v>
                </c:pt>
                <c:pt idx="1">
                  <c:v>12186619.809388254</c:v>
                </c:pt>
                <c:pt idx="2">
                  <c:v>24582190.351935159</c:v>
                </c:pt>
                <c:pt idx="3">
                  <c:v>50658827.247549705</c:v>
                </c:pt>
                <c:pt idx="4">
                  <c:v>552112947.54911792</c:v>
                </c:pt>
                <c:pt idx="5">
                  <c:v>1458942293.0931103</c:v>
                </c:pt>
                <c:pt idx="6">
                  <c:v>3076502680.7854595</c:v>
                </c:pt>
              </c:numCache>
            </c:numRef>
          </c:val>
        </c:ser>
        <c:ser>
          <c:idx val="2"/>
          <c:order val="2"/>
          <c:tx>
            <c:v>Expenses</c:v>
          </c:tx>
          <c:spPr>
            <a:solidFill>
              <a:srgbClr val="FF0000"/>
            </a:solidFill>
          </c:spPr>
          <c:invertIfNegative val="0"/>
          <c:cat>
            <c:strRef>
              <c:f>Optimistic!$J$260:$P$260</c:f>
              <c:strCache>
                <c:ptCount val="7"/>
                <c:pt idx="0">
                  <c:v>Q1 2022</c:v>
                </c:pt>
                <c:pt idx="1">
                  <c:v>Q2 2022</c:v>
                </c:pt>
                <c:pt idx="2">
                  <c:v>Q3 2022</c:v>
                </c:pt>
                <c:pt idx="3">
                  <c:v>Q4 2022</c:v>
                </c:pt>
                <c:pt idx="4">
                  <c:v>2023</c:v>
                </c:pt>
                <c:pt idx="5">
                  <c:v>2024</c:v>
                </c:pt>
                <c:pt idx="6">
                  <c:v>2025</c:v>
                </c:pt>
              </c:strCache>
            </c:strRef>
          </c:cat>
          <c:val>
            <c:numRef>
              <c:f>(Optimistic!$P$47:$S$47,Optimistic!$V$47:$X$47)</c:f>
              <c:numCache>
                <c:formatCode>#,##0\ "€"</c:formatCode>
                <c:ptCount val="7"/>
                <c:pt idx="0">
                  <c:v>4684114.1179626547</c:v>
                </c:pt>
                <c:pt idx="1">
                  <c:v>8558234.3705756254</c:v>
                </c:pt>
                <c:pt idx="2">
                  <c:v>15503636.483664477</c:v>
                </c:pt>
                <c:pt idx="3">
                  <c:v>28562762.131381504</c:v>
                </c:pt>
                <c:pt idx="4">
                  <c:v>346280220.65814662</c:v>
                </c:pt>
                <c:pt idx="5">
                  <c:v>664486620.21529746</c:v>
                </c:pt>
                <c:pt idx="6">
                  <c:v>1272455468.3935089</c:v>
                </c:pt>
              </c:numCache>
            </c:numRef>
          </c:val>
        </c:ser>
        <c:ser>
          <c:idx val="3"/>
          <c:order val="3"/>
          <c:tx>
            <c:v>Result</c:v>
          </c:tx>
          <c:spPr>
            <a:solidFill>
              <a:srgbClr val="FFC000"/>
            </a:solidFill>
          </c:spPr>
          <c:invertIfNegative val="0"/>
          <c:cat>
            <c:strRef>
              <c:f>Optimistic!$J$260:$P$260</c:f>
              <c:strCache>
                <c:ptCount val="7"/>
                <c:pt idx="0">
                  <c:v>Q1 2022</c:v>
                </c:pt>
                <c:pt idx="1">
                  <c:v>Q2 2022</c:v>
                </c:pt>
                <c:pt idx="2">
                  <c:v>Q3 2022</c:v>
                </c:pt>
                <c:pt idx="3">
                  <c:v>Q4 2022</c:v>
                </c:pt>
                <c:pt idx="4">
                  <c:v>2023</c:v>
                </c:pt>
                <c:pt idx="5">
                  <c:v>2024</c:v>
                </c:pt>
                <c:pt idx="6">
                  <c:v>2025</c:v>
                </c:pt>
              </c:strCache>
            </c:strRef>
          </c:cat>
          <c:val>
            <c:numRef>
              <c:f>(Optimistic!$P$49:$S$49,Optimistic!$V$49:$X$49)</c:f>
              <c:numCache>
                <c:formatCode>#,##0\ "€"</c:formatCode>
                <c:ptCount val="7"/>
                <c:pt idx="0">
                  <c:v>1500671.8289294355</c:v>
                </c:pt>
                <c:pt idx="1">
                  <c:v>3628385.4388126284</c:v>
                </c:pt>
                <c:pt idx="2">
                  <c:v>9078553.8682706822</c:v>
                </c:pt>
                <c:pt idx="3">
                  <c:v>22096065.116168201</c:v>
                </c:pt>
                <c:pt idx="4">
                  <c:v>205832726.8909713</c:v>
                </c:pt>
                <c:pt idx="5">
                  <c:v>794455672.87781286</c:v>
                </c:pt>
                <c:pt idx="6">
                  <c:v>1804047212.3919506</c:v>
                </c:pt>
              </c:numCache>
            </c:numRef>
          </c:val>
        </c:ser>
        <c:dLbls>
          <c:showLegendKey val="0"/>
          <c:showVal val="0"/>
          <c:showCatName val="0"/>
          <c:showSerName val="0"/>
          <c:showPercent val="0"/>
          <c:showBubbleSize val="0"/>
        </c:dLbls>
        <c:gapWidth val="150"/>
        <c:axId val="102213120"/>
        <c:axId val="140334144"/>
      </c:barChart>
      <c:catAx>
        <c:axId val="102213120"/>
        <c:scaling>
          <c:orientation val="minMax"/>
        </c:scaling>
        <c:delete val="0"/>
        <c:axPos val="b"/>
        <c:majorTickMark val="out"/>
        <c:minorTickMark val="none"/>
        <c:tickLblPos val="nextTo"/>
        <c:crossAx val="140334144"/>
        <c:crosses val="autoZero"/>
        <c:auto val="1"/>
        <c:lblAlgn val="ctr"/>
        <c:lblOffset val="100"/>
        <c:noMultiLvlLbl val="0"/>
      </c:catAx>
      <c:valAx>
        <c:axId val="140334144"/>
        <c:scaling>
          <c:orientation val="minMax"/>
        </c:scaling>
        <c:delete val="0"/>
        <c:axPos val="l"/>
        <c:majorGridlines/>
        <c:numFmt formatCode="#,##0" sourceLinked="1"/>
        <c:majorTickMark val="out"/>
        <c:minorTickMark val="none"/>
        <c:tickLblPos val="nextTo"/>
        <c:crossAx val="102213120"/>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User</c:v>
          </c:tx>
          <c:spPr>
            <a:solidFill>
              <a:schemeClr val="tx2">
                <a:lumMod val="60000"/>
                <a:lumOff val="40000"/>
              </a:schemeClr>
            </a:solidFill>
          </c:spPr>
          <c:invertIfNegative val="0"/>
          <c:cat>
            <c:strRef>
              <c:f>'Result of your Estimation'!$J$260:$P$260</c:f>
              <c:strCache>
                <c:ptCount val="7"/>
                <c:pt idx="0">
                  <c:v>Q1 2022</c:v>
                </c:pt>
                <c:pt idx="1">
                  <c:v>Q2 2022</c:v>
                </c:pt>
                <c:pt idx="2">
                  <c:v>Q3 2022</c:v>
                </c:pt>
                <c:pt idx="3">
                  <c:v>Q4 2022</c:v>
                </c:pt>
                <c:pt idx="4">
                  <c:v>2023</c:v>
                </c:pt>
                <c:pt idx="5">
                  <c:v>2024</c:v>
                </c:pt>
                <c:pt idx="6">
                  <c:v>2025</c:v>
                </c:pt>
              </c:strCache>
            </c:strRef>
          </c:cat>
          <c:val>
            <c:numRef>
              <c:f>('Result of your Estimation'!$P$18:$S$18,'Result of your Estimation'!$V$18:$X$18)</c:f>
              <c:numCache>
                <c:formatCode>#,##0</c:formatCode>
                <c:ptCount val="7"/>
                <c:pt idx="0">
                  <c:v>38454.597338960601</c:v>
                </c:pt>
                <c:pt idx="1">
                  <c:v>38454.597338960601</c:v>
                </c:pt>
                <c:pt idx="2">
                  <c:v>38454.597338960601</c:v>
                </c:pt>
                <c:pt idx="3">
                  <c:v>38454.597338960601</c:v>
                </c:pt>
                <c:pt idx="4">
                  <c:v>38454.597338960601</c:v>
                </c:pt>
                <c:pt idx="5">
                  <c:v>38454.597338960601</c:v>
                </c:pt>
                <c:pt idx="6">
                  <c:v>38454.597338960601</c:v>
                </c:pt>
              </c:numCache>
            </c:numRef>
          </c:val>
        </c:ser>
        <c:ser>
          <c:idx val="1"/>
          <c:order val="1"/>
          <c:tx>
            <c:v>Income</c:v>
          </c:tx>
          <c:spPr>
            <a:solidFill>
              <a:srgbClr val="6DC71B"/>
            </a:solidFill>
          </c:spPr>
          <c:invertIfNegative val="0"/>
          <c:cat>
            <c:strRef>
              <c:f>'Result of your Estimation'!$J$260:$P$260</c:f>
              <c:strCache>
                <c:ptCount val="7"/>
                <c:pt idx="0">
                  <c:v>Q1 2022</c:v>
                </c:pt>
                <c:pt idx="1">
                  <c:v>Q2 2022</c:v>
                </c:pt>
                <c:pt idx="2">
                  <c:v>Q3 2022</c:v>
                </c:pt>
                <c:pt idx="3">
                  <c:v>Q4 2022</c:v>
                </c:pt>
                <c:pt idx="4">
                  <c:v>2023</c:v>
                </c:pt>
                <c:pt idx="5">
                  <c:v>2024</c:v>
                </c:pt>
                <c:pt idx="6">
                  <c:v>2025</c:v>
                </c:pt>
              </c:strCache>
            </c:strRef>
          </c:cat>
          <c:val>
            <c:numRef>
              <c:f>('Result of your Estimation'!$P$30:$S$30,'Result of your Estimation'!$V$30:$X$30)</c:f>
              <c:numCache>
                <c:formatCode>#,##0\ "€"</c:formatCode>
                <c:ptCount val="7"/>
                <c:pt idx="0">
                  <c:v>0</c:v>
                </c:pt>
                <c:pt idx="1">
                  <c:v>0</c:v>
                </c:pt>
                <c:pt idx="2">
                  <c:v>0</c:v>
                </c:pt>
                <c:pt idx="3">
                  <c:v>0</c:v>
                </c:pt>
                <c:pt idx="4">
                  <c:v>0</c:v>
                </c:pt>
                <c:pt idx="5">
                  <c:v>0</c:v>
                </c:pt>
                <c:pt idx="6">
                  <c:v>0</c:v>
                </c:pt>
              </c:numCache>
            </c:numRef>
          </c:val>
        </c:ser>
        <c:ser>
          <c:idx val="2"/>
          <c:order val="2"/>
          <c:tx>
            <c:v>Expenses</c:v>
          </c:tx>
          <c:spPr>
            <a:solidFill>
              <a:srgbClr val="FF0000"/>
            </a:solidFill>
          </c:spPr>
          <c:invertIfNegative val="0"/>
          <c:cat>
            <c:strRef>
              <c:f>'Result of your Estimation'!$J$260:$P$260</c:f>
              <c:strCache>
                <c:ptCount val="7"/>
                <c:pt idx="0">
                  <c:v>Q1 2022</c:v>
                </c:pt>
                <c:pt idx="1">
                  <c:v>Q2 2022</c:v>
                </c:pt>
                <c:pt idx="2">
                  <c:v>Q3 2022</c:v>
                </c:pt>
                <c:pt idx="3">
                  <c:v>Q4 2022</c:v>
                </c:pt>
                <c:pt idx="4">
                  <c:v>2023</c:v>
                </c:pt>
                <c:pt idx="5">
                  <c:v>2024</c:v>
                </c:pt>
                <c:pt idx="6">
                  <c:v>2025</c:v>
                </c:pt>
              </c:strCache>
            </c:strRef>
          </c:cat>
          <c:val>
            <c:numRef>
              <c:f>('Result of your Estimation'!$P$47:$S$47,'Result of your Estimation'!$V$47:$X$47)</c:f>
              <c:numCache>
                <c:formatCode>#,##0\ "€"</c:formatCode>
                <c:ptCount val="7"/>
                <c:pt idx="0">
                  <c:v>139762.63792016881</c:v>
                </c:pt>
                <c:pt idx="1">
                  <c:v>139762.63792016881</c:v>
                </c:pt>
                <c:pt idx="2">
                  <c:v>139762.63792016881</c:v>
                </c:pt>
                <c:pt idx="3">
                  <c:v>139762.63792016881</c:v>
                </c:pt>
                <c:pt idx="4">
                  <c:v>515017.55168067524</c:v>
                </c:pt>
                <c:pt idx="5">
                  <c:v>515017.55168067524</c:v>
                </c:pt>
                <c:pt idx="6">
                  <c:v>515017.55168067524</c:v>
                </c:pt>
              </c:numCache>
            </c:numRef>
          </c:val>
        </c:ser>
        <c:ser>
          <c:idx val="3"/>
          <c:order val="3"/>
          <c:tx>
            <c:v>Result</c:v>
          </c:tx>
          <c:spPr>
            <a:solidFill>
              <a:srgbClr val="FFC000"/>
            </a:solidFill>
          </c:spPr>
          <c:invertIfNegative val="0"/>
          <c:cat>
            <c:strRef>
              <c:f>'Result of your Estimation'!$J$260:$P$260</c:f>
              <c:strCache>
                <c:ptCount val="7"/>
                <c:pt idx="0">
                  <c:v>Q1 2022</c:v>
                </c:pt>
                <c:pt idx="1">
                  <c:v>Q2 2022</c:v>
                </c:pt>
                <c:pt idx="2">
                  <c:v>Q3 2022</c:v>
                </c:pt>
                <c:pt idx="3">
                  <c:v>Q4 2022</c:v>
                </c:pt>
                <c:pt idx="4">
                  <c:v>2023</c:v>
                </c:pt>
                <c:pt idx="5">
                  <c:v>2024</c:v>
                </c:pt>
                <c:pt idx="6">
                  <c:v>2025</c:v>
                </c:pt>
              </c:strCache>
            </c:strRef>
          </c:cat>
          <c:val>
            <c:numRef>
              <c:f>('Result of your Estimation'!$P$49:$S$49,'Result of your Estimation'!$V$49:$X$49)</c:f>
              <c:numCache>
                <c:formatCode>#,##0\ "€"</c:formatCode>
                <c:ptCount val="7"/>
                <c:pt idx="0">
                  <c:v>-139762.63792016881</c:v>
                </c:pt>
                <c:pt idx="1">
                  <c:v>-139762.63792016881</c:v>
                </c:pt>
                <c:pt idx="2">
                  <c:v>-139762.63792016881</c:v>
                </c:pt>
                <c:pt idx="3">
                  <c:v>-139762.63792016881</c:v>
                </c:pt>
                <c:pt idx="4">
                  <c:v>-515017.55168067524</c:v>
                </c:pt>
                <c:pt idx="5">
                  <c:v>-515017.55168067524</c:v>
                </c:pt>
                <c:pt idx="6">
                  <c:v>-515017.55168067524</c:v>
                </c:pt>
              </c:numCache>
            </c:numRef>
          </c:val>
        </c:ser>
        <c:dLbls>
          <c:showLegendKey val="0"/>
          <c:showVal val="0"/>
          <c:showCatName val="0"/>
          <c:showSerName val="0"/>
          <c:showPercent val="0"/>
          <c:showBubbleSize val="0"/>
        </c:dLbls>
        <c:gapWidth val="150"/>
        <c:axId val="101632000"/>
        <c:axId val="62043200"/>
      </c:barChart>
      <c:catAx>
        <c:axId val="101632000"/>
        <c:scaling>
          <c:orientation val="minMax"/>
        </c:scaling>
        <c:delete val="0"/>
        <c:axPos val="b"/>
        <c:majorTickMark val="out"/>
        <c:minorTickMark val="none"/>
        <c:tickLblPos val="nextTo"/>
        <c:crossAx val="62043200"/>
        <c:crosses val="autoZero"/>
        <c:auto val="1"/>
        <c:lblAlgn val="ctr"/>
        <c:lblOffset val="100"/>
        <c:noMultiLvlLbl val="0"/>
      </c:catAx>
      <c:valAx>
        <c:axId val="62043200"/>
        <c:scaling>
          <c:orientation val="minMax"/>
        </c:scaling>
        <c:delete val="0"/>
        <c:axPos val="l"/>
        <c:majorGridlines/>
        <c:numFmt formatCode="#,##0" sourceLinked="1"/>
        <c:majorTickMark val="out"/>
        <c:minorTickMark val="none"/>
        <c:tickLblPos val="nextTo"/>
        <c:crossAx val="101632000"/>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Networks'!$C$4:$C$20</c:f>
              <c:numCache>
                <c:formatCode>General</c:formatCode>
                <c:ptCount val="17"/>
                <c:pt idx="0">
                  <c:v>0</c:v>
                </c:pt>
                <c:pt idx="1">
                  <c:v>1</c:v>
                </c:pt>
                <c:pt idx="2">
                  <c:v>6</c:v>
                </c:pt>
                <c:pt idx="3">
                  <c:v>12</c:v>
                </c:pt>
                <c:pt idx="4">
                  <c:v>58</c:v>
                </c:pt>
                <c:pt idx="5">
                  <c:v>145</c:v>
                </c:pt>
                <c:pt idx="6">
                  <c:v>360</c:v>
                </c:pt>
                <c:pt idx="7">
                  <c:v>608</c:v>
                </c:pt>
                <c:pt idx="8">
                  <c:v>845</c:v>
                </c:pt>
                <c:pt idx="9">
                  <c:v>1056</c:v>
                </c:pt>
                <c:pt idx="10">
                  <c:v>1230</c:v>
                </c:pt>
                <c:pt idx="11">
                  <c:v>1393</c:v>
                </c:pt>
                <c:pt idx="12">
                  <c:v>1591</c:v>
                </c:pt>
                <c:pt idx="13">
                  <c:v>1860</c:v>
                </c:pt>
                <c:pt idx="14">
                  <c:v>2072</c:v>
                </c:pt>
                <c:pt idx="15">
                  <c:v>2250</c:v>
                </c:pt>
                <c:pt idx="16">
                  <c:v>2450</c:v>
                </c:pt>
              </c:numCache>
            </c:numRef>
          </c:val>
          <c:smooth val="0"/>
        </c:ser>
        <c:ser>
          <c:idx val="1"/>
          <c:order val="1"/>
          <c:tx>
            <c:v>WhatsApp</c:v>
          </c:tx>
          <c:spPr>
            <a:ln>
              <a:solidFill>
                <a:srgbClr val="7030A0"/>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Networks'!$E$4:$E$18</c:f>
              <c:numCache>
                <c:formatCode>General</c:formatCode>
                <c:ptCount val="15"/>
                <c:pt idx="0">
                  <c:v>0</c:v>
                </c:pt>
                <c:pt idx="1">
                  <c:v>0</c:v>
                </c:pt>
                <c:pt idx="2">
                  <c:v>0</c:v>
                </c:pt>
                <c:pt idx="3">
                  <c:v>0</c:v>
                </c:pt>
                <c:pt idx="4">
                  <c:v>0</c:v>
                </c:pt>
                <c:pt idx="5">
                  <c:v>0.01</c:v>
                </c:pt>
                <c:pt idx="6">
                  <c:v>0.25</c:v>
                </c:pt>
                <c:pt idx="7">
                  <c:v>5</c:v>
                </c:pt>
                <c:pt idx="8">
                  <c:v>35</c:v>
                </c:pt>
                <c:pt idx="9">
                  <c:v>150</c:v>
                </c:pt>
                <c:pt idx="10">
                  <c:v>400</c:v>
                </c:pt>
                <c:pt idx="11">
                  <c:v>600</c:v>
                </c:pt>
                <c:pt idx="12">
                  <c:v>900</c:v>
                </c:pt>
                <c:pt idx="13">
                  <c:v>1000</c:v>
                </c:pt>
                <c:pt idx="14">
                  <c:v>1500</c:v>
                </c:pt>
              </c:numCache>
            </c:numRef>
          </c:val>
          <c:smooth val="0"/>
        </c:ser>
        <c:ser>
          <c:idx val="2"/>
          <c:order val="2"/>
          <c:tx>
            <c:v>WeChat</c:v>
          </c:tx>
          <c:spPr>
            <a:ln>
              <a:solidFill>
                <a:srgbClr val="FF0000"/>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Networks'!$G$4:$G$20</c:f>
              <c:numCache>
                <c:formatCode>General</c:formatCode>
                <c:ptCount val="17"/>
                <c:pt idx="0">
                  <c:v>0</c:v>
                </c:pt>
                <c:pt idx="1">
                  <c:v>0</c:v>
                </c:pt>
                <c:pt idx="2">
                  <c:v>0</c:v>
                </c:pt>
                <c:pt idx="3">
                  <c:v>0</c:v>
                </c:pt>
                <c:pt idx="4">
                  <c:v>0</c:v>
                </c:pt>
                <c:pt idx="5">
                  <c:v>0</c:v>
                </c:pt>
                <c:pt idx="6">
                  <c:v>0</c:v>
                </c:pt>
                <c:pt idx="7">
                  <c:v>0</c:v>
                </c:pt>
                <c:pt idx="8">
                  <c:v>50</c:v>
                </c:pt>
                <c:pt idx="9">
                  <c:v>160</c:v>
                </c:pt>
                <c:pt idx="10">
                  <c:v>355</c:v>
                </c:pt>
                <c:pt idx="11">
                  <c:v>500</c:v>
                </c:pt>
                <c:pt idx="12">
                  <c:v>697</c:v>
                </c:pt>
                <c:pt idx="13">
                  <c:v>889</c:v>
                </c:pt>
                <c:pt idx="14">
                  <c:v>980</c:v>
                </c:pt>
                <c:pt idx="15">
                  <c:v>1100</c:v>
                </c:pt>
                <c:pt idx="16">
                  <c:v>1160</c:v>
                </c:pt>
              </c:numCache>
            </c:numRef>
          </c:val>
          <c:smooth val="0"/>
        </c:ser>
        <c:ser>
          <c:idx val="3"/>
          <c:order val="3"/>
          <c:tx>
            <c:v>Instagram</c:v>
          </c:tx>
          <c:spPr>
            <a:ln>
              <a:solidFill>
                <a:srgbClr val="FFC000"/>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Networks'!$I$4:$I$19</c:f>
              <c:numCache>
                <c:formatCode>General</c:formatCode>
                <c:ptCount val="16"/>
                <c:pt idx="0">
                  <c:v>0</c:v>
                </c:pt>
                <c:pt idx="1">
                  <c:v>0</c:v>
                </c:pt>
                <c:pt idx="2">
                  <c:v>0</c:v>
                </c:pt>
                <c:pt idx="3">
                  <c:v>0</c:v>
                </c:pt>
                <c:pt idx="4">
                  <c:v>0</c:v>
                </c:pt>
                <c:pt idx="5">
                  <c:v>0</c:v>
                </c:pt>
                <c:pt idx="6">
                  <c:v>0</c:v>
                </c:pt>
                <c:pt idx="7">
                  <c:v>1</c:v>
                </c:pt>
                <c:pt idx="8">
                  <c:v>10</c:v>
                </c:pt>
                <c:pt idx="9">
                  <c:v>80</c:v>
                </c:pt>
                <c:pt idx="10">
                  <c:v>150</c:v>
                </c:pt>
                <c:pt idx="11">
                  <c:v>300</c:v>
                </c:pt>
                <c:pt idx="12">
                  <c:v>400</c:v>
                </c:pt>
                <c:pt idx="13">
                  <c:v>600</c:v>
                </c:pt>
                <c:pt idx="14">
                  <c:v>800</c:v>
                </c:pt>
                <c:pt idx="15">
                  <c:v>1000</c:v>
                </c:pt>
              </c:numCache>
            </c:numRef>
          </c:val>
          <c:smooth val="0"/>
        </c:ser>
        <c:ser>
          <c:idx val="4"/>
          <c:order val="4"/>
          <c:tx>
            <c:v>LinkedIn</c:v>
          </c:tx>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Networks'!$M$4:$M$17</c:f>
              <c:numCache>
                <c:formatCode>General</c:formatCode>
                <c:ptCount val="14"/>
                <c:pt idx="0">
                  <c:v>0</c:v>
                </c:pt>
                <c:pt idx="1">
                  <c:v>0</c:v>
                </c:pt>
                <c:pt idx="2">
                  <c:v>0</c:v>
                </c:pt>
                <c:pt idx="3">
                  <c:v>1.6E-2</c:v>
                </c:pt>
                <c:pt idx="4">
                  <c:v>0.70199999999999996</c:v>
                </c:pt>
                <c:pt idx="5">
                  <c:v>4</c:v>
                </c:pt>
                <c:pt idx="6">
                  <c:v>18</c:v>
                </c:pt>
                <c:pt idx="7">
                  <c:v>54</c:v>
                </c:pt>
                <c:pt idx="8">
                  <c:v>117</c:v>
                </c:pt>
                <c:pt idx="9">
                  <c:v>185</c:v>
                </c:pt>
                <c:pt idx="10">
                  <c:v>241</c:v>
                </c:pt>
                <c:pt idx="11">
                  <c:v>288</c:v>
                </c:pt>
                <c:pt idx="12">
                  <c:v>305</c:v>
                </c:pt>
                <c:pt idx="13">
                  <c:v>319</c:v>
                </c:pt>
              </c:numCache>
            </c:numRef>
          </c:val>
          <c:smooth val="0"/>
        </c:ser>
        <c:ser>
          <c:idx val="6"/>
          <c:order val="6"/>
          <c:tx>
            <c:v>connect (Realistic)</c:v>
          </c:tx>
          <c:spPr>
            <a:ln>
              <a:solidFill>
                <a:srgbClr val="6DC71B"/>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Networks'!$Q$4:$Q$26</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formatCode="#,##0.00">
                  <c:v>5.5007231534220366E-2</c:v>
                </c:pt>
                <c:pt idx="18" formatCode="#,##0.00">
                  <c:v>0.26211723812496734</c:v>
                </c:pt>
                <c:pt idx="19" formatCode="#,##0.00">
                  <c:v>2.0163530394777931</c:v>
                </c:pt>
                <c:pt idx="20" formatCode="#,##0.00">
                  <c:v>5.8912056794336474</c:v>
                </c:pt>
                <c:pt idx="21" formatCode="#,##0.00">
                  <c:v>14.010941670429698</c:v>
                </c:pt>
                <c:pt idx="22" formatCode="#,##0.00">
                  <c:v>25.294677306404136</c:v>
                </c:pt>
              </c:numCache>
            </c:numRef>
          </c:val>
          <c:smooth val="0"/>
        </c:ser>
        <c:ser>
          <c:idx val="7"/>
          <c:order val="7"/>
          <c:tx>
            <c:v>connect (You)</c:v>
          </c:tx>
          <c:spPr>
            <a:ln>
              <a:solidFill>
                <a:schemeClr val="accent6">
                  <a:lumMod val="75000"/>
                </a:schemeClr>
              </a:solidFill>
            </a:ln>
          </c:spPr>
          <c:marker>
            <c:symbol val="none"/>
          </c:marker>
          <c:val>
            <c:numRef>
              <c:f>'Comparision successful Networks'!$O$4:$O$26</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formatCode="#,##0.00">
                  <c:v>2.6787965261703416E-2</c:v>
                </c:pt>
                <c:pt idx="18" formatCode="#,##0.00">
                  <c:v>3.8454597338960603E-2</c:v>
                </c:pt>
                <c:pt idx="19" formatCode="#,##0.00">
                  <c:v>3.8454597338960603E-2</c:v>
                </c:pt>
                <c:pt idx="20" formatCode="#,##0.00">
                  <c:v>3.8454597338960603E-2</c:v>
                </c:pt>
                <c:pt idx="21" formatCode="#,##0.00">
                  <c:v>3.8454597338960603E-2</c:v>
                </c:pt>
                <c:pt idx="22" formatCode="#,##0.00">
                  <c:v>3.8454597338960603E-2</c:v>
                </c:pt>
              </c:numCache>
            </c:numRef>
          </c:val>
          <c:smooth val="0"/>
        </c:ser>
        <c:dLbls>
          <c:showLegendKey val="0"/>
          <c:showVal val="0"/>
          <c:showCatName val="0"/>
          <c:showSerName val="0"/>
          <c:showPercent val="0"/>
          <c:showBubbleSize val="0"/>
        </c:dLbls>
        <c:marker val="1"/>
        <c:smooth val="0"/>
        <c:axId val="102214656"/>
        <c:axId val="141915776"/>
      </c:lineChart>
      <c:catAx>
        <c:axId val="102214656"/>
        <c:scaling>
          <c:orientation val="minMax"/>
        </c:scaling>
        <c:delete val="0"/>
        <c:axPos val="b"/>
        <c:numFmt formatCode="@" sourceLinked="0"/>
        <c:majorTickMark val="out"/>
        <c:minorTickMark val="none"/>
        <c:tickLblPos val="nextTo"/>
        <c:crossAx val="141915776"/>
        <c:crosses val="autoZero"/>
        <c:auto val="1"/>
        <c:lblAlgn val="ctr"/>
        <c:lblOffset val="100"/>
        <c:noMultiLvlLbl val="0"/>
      </c:catAx>
      <c:valAx>
        <c:axId val="141915776"/>
        <c:scaling>
          <c:orientation val="minMax"/>
        </c:scaling>
        <c:delete val="0"/>
        <c:axPos val="l"/>
        <c:majorGridlines/>
        <c:numFmt formatCode="General" sourceLinked="1"/>
        <c:majorTickMark val="out"/>
        <c:minorTickMark val="none"/>
        <c:tickLblPos val="nextTo"/>
        <c:crossAx val="102214656"/>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val>
            <c:numRef>
              <c:f>'Comparision successful Networks'!$C$5:$C$18</c:f>
              <c:numCache>
                <c:formatCode>General</c:formatCode>
                <c:ptCount val="14"/>
                <c:pt idx="0">
                  <c:v>1</c:v>
                </c:pt>
                <c:pt idx="1">
                  <c:v>6</c:v>
                </c:pt>
                <c:pt idx="2">
                  <c:v>12</c:v>
                </c:pt>
                <c:pt idx="3">
                  <c:v>58</c:v>
                </c:pt>
                <c:pt idx="4">
                  <c:v>145</c:v>
                </c:pt>
                <c:pt idx="5">
                  <c:v>360</c:v>
                </c:pt>
                <c:pt idx="6">
                  <c:v>608</c:v>
                </c:pt>
                <c:pt idx="7">
                  <c:v>845</c:v>
                </c:pt>
                <c:pt idx="8">
                  <c:v>1056</c:v>
                </c:pt>
                <c:pt idx="9">
                  <c:v>1230</c:v>
                </c:pt>
                <c:pt idx="10">
                  <c:v>1393</c:v>
                </c:pt>
                <c:pt idx="11">
                  <c:v>1591</c:v>
                </c:pt>
                <c:pt idx="12">
                  <c:v>1860</c:v>
                </c:pt>
                <c:pt idx="13">
                  <c:v>2072</c:v>
                </c:pt>
              </c:numCache>
            </c:numRef>
          </c:val>
          <c:smooth val="0"/>
        </c:ser>
        <c:ser>
          <c:idx val="1"/>
          <c:order val="1"/>
          <c:tx>
            <c:v>WhatsApp</c:v>
          </c:tx>
          <c:spPr>
            <a:ln>
              <a:solidFill>
                <a:srgbClr val="7030A0"/>
              </a:solidFill>
            </a:ln>
          </c:spPr>
          <c:marker>
            <c:symbol val="none"/>
          </c:marker>
          <c:val>
            <c:numRef>
              <c:f>'Comparision successful Networks'!$E$9:$E$18</c:f>
              <c:numCache>
                <c:formatCode>General</c:formatCode>
                <c:ptCount val="10"/>
                <c:pt idx="0">
                  <c:v>0.01</c:v>
                </c:pt>
                <c:pt idx="1">
                  <c:v>0.25</c:v>
                </c:pt>
                <c:pt idx="2">
                  <c:v>5</c:v>
                </c:pt>
                <c:pt idx="3">
                  <c:v>35</c:v>
                </c:pt>
                <c:pt idx="4">
                  <c:v>150</c:v>
                </c:pt>
                <c:pt idx="5">
                  <c:v>400</c:v>
                </c:pt>
                <c:pt idx="6">
                  <c:v>600</c:v>
                </c:pt>
                <c:pt idx="7">
                  <c:v>900</c:v>
                </c:pt>
                <c:pt idx="8">
                  <c:v>1000</c:v>
                </c:pt>
                <c:pt idx="9">
                  <c:v>1500</c:v>
                </c:pt>
              </c:numCache>
            </c:numRef>
          </c:val>
          <c:smooth val="0"/>
        </c:ser>
        <c:ser>
          <c:idx val="2"/>
          <c:order val="2"/>
          <c:tx>
            <c:v>WeChat</c:v>
          </c:tx>
          <c:spPr>
            <a:ln>
              <a:solidFill>
                <a:srgbClr val="FF0000"/>
              </a:solidFill>
            </a:ln>
          </c:spPr>
          <c:marker>
            <c:symbol val="none"/>
          </c:marker>
          <c:val>
            <c:numRef>
              <c:f>'Comparision successful Networks'!$G$12:$G$18</c:f>
              <c:numCache>
                <c:formatCode>General</c:formatCode>
                <c:ptCount val="7"/>
                <c:pt idx="0">
                  <c:v>50</c:v>
                </c:pt>
                <c:pt idx="1">
                  <c:v>160</c:v>
                </c:pt>
                <c:pt idx="2">
                  <c:v>355</c:v>
                </c:pt>
                <c:pt idx="3">
                  <c:v>500</c:v>
                </c:pt>
                <c:pt idx="4">
                  <c:v>697</c:v>
                </c:pt>
                <c:pt idx="5">
                  <c:v>889</c:v>
                </c:pt>
                <c:pt idx="6">
                  <c:v>980</c:v>
                </c:pt>
              </c:numCache>
            </c:numRef>
          </c:val>
          <c:smooth val="0"/>
        </c:ser>
        <c:ser>
          <c:idx val="3"/>
          <c:order val="3"/>
          <c:tx>
            <c:v>Instagram</c:v>
          </c:tx>
          <c:spPr>
            <a:ln>
              <a:solidFill>
                <a:srgbClr val="FFC000"/>
              </a:solidFill>
            </a:ln>
          </c:spPr>
          <c:marker>
            <c:symbol val="none"/>
          </c:marker>
          <c:val>
            <c:numRef>
              <c:f>'Comparision successful Networks'!$I$11:$I$18</c:f>
              <c:numCache>
                <c:formatCode>General</c:formatCode>
                <c:ptCount val="8"/>
                <c:pt idx="0">
                  <c:v>1</c:v>
                </c:pt>
                <c:pt idx="1">
                  <c:v>10</c:v>
                </c:pt>
                <c:pt idx="2">
                  <c:v>80</c:v>
                </c:pt>
                <c:pt idx="3">
                  <c:v>150</c:v>
                </c:pt>
                <c:pt idx="4">
                  <c:v>300</c:v>
                </c:pt>
                <c:pt idx="5">
                  <c:v>400</c:v>
                </c:pt>
                <c:pt idx="6">
                  <c:v>600</c:v>
                </c:pt>
                <c:pt idx="7">
                  <c:v>800</c:v>
                </c:pt>
              </c:numCache>
            </c:numRef>
          </c:val>
          <c:smooth val="0"/>
        </c:ser>
        <c:ser>
          <c:idx val="4"/>
          <c:order val="4"/>
          <c:tx>
            <c:v>LinkedIn</c:v>
          </c:tx>
          <c:spPr>
            <a:ln>
              <a:solidFill>
                <a:schemeClr val="accent5">
                  <a:lumMod val="75000"/>
                </a:schemeClr>
              </a:solidFill>
            </a:ln>
          </c:spPr>
          <c:marker>
            <c:symbol val="none"/>
          </c:marker>
          <c:val>
            <c:numRef>
              <c:f>'Comparision successful Networks'!$K$4:$K$16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val>
            <c:numRef>
              <c:f>'Comparision successful Networks'!$M$7:$M$17</c:f>
              <c:numCache>
                <c:formatCode>General</c:formatCode>
                <c:ptCount val="11"/>
                <c:pt idx="0">
                  <c:v>1.6E-2</c:v>
                </c:pt>
                <c:pt idx="1">
                  <c:v>0.70199999999999996</c:v>
                </c:pt>
                <c:pt idx="2">
                  <c:v>4</c:v>
                </c:pt>
                <c:pt idx="3">
                  <c:v>18</c:v>
                </c:pt>
                <c:pt idx="4">
                  <c:v>54</c:v>
                </c:pt>
                <c:pt idx="5">
                  <c:v>117</c:v>
                </c:pt>
                <c:pt idx="6">
                  <c:v>185</c:v>
                </c:pt>
                <c:pt idx="7">
                  <c:v>241</c:v>
                </c:pt>
                <c:pt idx="8">
                  <c:v>288</c:v>
                </c:pt>
                <c:pt idx="9">
                  <c:v>305</c:v>
                </c:pt>
                <c:pt idx="10">
                  <c:v>319</c:v>
                </c:pt>
              </c:numCache>
            </c:numRef>
          </c:val>
          <c:smooth val="0"/>
        </c:ser>
        <c:ser>
          <c:idx val="6"/>
          <c:order val="6"/>
          <c:tx>
            <c:v>connect (Wir)</c:v>
          </c:tx>
          <c:spPr>
            <a:ln>
              <a:solidFill>
                <a:srgbClr val="6DC71B"/>
              </a:solidFill>
            </a:ln>
          </c:spPr>
          <c:marker>
            <c:symbol val="none"/>
          </c:marker>
          <c:val>
            <c:numRef>
              <c:f>'Comparision successful Networks'!$Q$21:$Q$26</c:f>
              <c:numCache>
                <c:formatCode>#,##0.00</c:formatCode>
                <c:ptCount val="6"/>
                <c:pt idx="0">
                  <c:v>5.5007231534220366E-2</c:v>
                </c:pt>
                <c:pt idx="1">
                  <c:v>0.26211723812496734</c:v>
                </c:pt>
                <c:pt idx="2">
                  <c:v>2.0163530394777931</c:v>
                </c:pt>
                <c:pt idx="3">
                  <c:v>5.8912056794336474</c:v>
                </c:pt>
                <c:pt idx="4">
                  <c:v>14.010941670429698</c:v>
                </c:pt>
                <c:pt idx="5">
                  <c:v>25.294677306404136</c:v>
                </c:pt>
              </c:numCache>
            </c:numRef>
          </c:val>
          <c:smooth val="0"/>
        </c:ser>
        <c:ser>
          <c:idx val="7"/>
          <c:order val="7"/>
          <c:tx>
            <c:v>connect (Sie)</c:v>
          </c:tx>
          <c:spPr>
            <a:ln>
              <a:solidFill>
                <a:schemeClr val="accent6">
                  <a:lumMod val="75000"/>
                </a:schemeClr>
              </a:solidFill>
            </a:ln>
          </c:spPr>
          <c:marker>
            <c:symbol val="none"/>
          </c:marker>
          <c:val>
            <c:numRef>
              <c:f>'Comparision successful Networks'!$O$21:$O$26</c:f>
              <c:numCache>
                <c:formatCode>#,##0.00</c:formatCode>
                <c:ptCount val="6"/>
                <c:pt idx="0">
                  <c:v>2.6787965261703416E-2</c:v>
                </c:pt>
                <c:pt idx="1">
                  <c:v>3.8454597338960603E-2</c:v>
                </c:pt>
                <c:pt idx="2">
                  <c:v>3.8454597338960603E-2</c:v>
                </c:pt>
                <c:pt idx="3">
                  <c:v>3.8454597338960603E-2</c:v>
                </c:pt>
                <c:pt idx="4">
                  <c:v>3.8454597338960603E-2</c:v>
                </c:pt>
                <c:pt idx="5">
                  <c:v>3.8454597338960603E-2</c:v>
                </c:pt>
              </c:numCache>
            </c:numRef>
          </c:val>
          <c:smooth val="0"/>
        </c:ser>
        <c:dLbls>
          <c:showLegendKey val="0"/>
          <c:showVal val="0"/>
          <c:showCatName val="0"/>
          <c:showSerName val="0"/>
          <c:showPercent val="0"/>
          <c:showBubbleSize val="0"/>
        </c:dLbls>
        <c:marker val="1"/>
        <c:smooth val="0"/>
        <c:axId val="101872128"/>
        <c:axId val="140336448"/>
      </c:lineChart>
      <c:catAx>
        <c:axId val="101872128"/>
        <c:scaling>
          <c:orientation val="minMax"/>
        </c:scaling>
        <c:delete val="0"/>
        <c:axPos val="b"/>
        <c:numFmt formatCode="General" sourceLinked="1"/>
        <c:majorTickMark val="out"/>
        <c:minorTickMark val="none"/>
        <c:tickLblPos val="nextTo"/>
        <c:crossAx val="140336448"/>
        <c:crosses val="autoZero"/>
        <c:auto val="1"/>
        <c:lblAlgn val="ctr"/>
        <c:lblOffset val="100"/>
        <c:noMultiLvlLbl val="0"/>
      </c:catAx>
      <c:valAx>
        <c:axId val="140336448"/>
        <c:scaling>
          <c:orientation val="minMax"/>
        </c:scaling>
        <c:delete val="0"/>
        <c:axPos val="l"/>
        <c:majorGridlines/>
        <c:numFmt formatCode="General" sourceLinked="1"/>
        <c:majorTickMark val="out"/>
        <c:minorTickMark val="none"/>
        <c:tickLblPos val="nextTo"/>
        <c:crossAx val="101872128"/>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val>
            <c:numRef>
              <c:f>'Comparision successful Networks'!$C$5:$C$20</c:f>
              <c:numCache>
                <c:formatCode>General</c:formatCode>
                <c:ptCount val="16"/>
                <c:pt idx="0">
                  <c:v>1</c:v>
                </c:pt>
                <c:pt idx="1">
                  <c:v>6</c:v>
                </c:pt>
                <c:pt idx="2">
                  <c:v>12</c:v>
                </c:pt>
                <c:pt idx="3">
                  <c:v>58</c:v>
                </c:pt>
                <c:pt idx="4">
                  <c:v>145</c:v>
                </c:pt>
                <c:pt idx="5">
                  <c:v>360</c:v>
                </c:pt>
                <c:pt idx="6">
                  <c:v>608</c:v>
                </c:pt>
                <c:pt idx="7">
                  <c:v>845</c:v>
                </c:pt>
                <c:pt idx="8">
                  <c:v>1056</c:v>
                </c:pt>
                <c:pt idx="9">
                  <c:v>1230</c:v>
                </c:pt>
                <c:pt idx="10">
                  <c:v>1393</c:v>
                </c:pt>
                <c:pt idx="11">
                  <c:v>1591</c:v>
                </c:pt>
                <c:pt idx="12">
                  <c:v>1860</c:v>
                </c:pt>
                <c:pt idx="13">
                  <c:v>2072</c:v>
                </c:pt>
                <c:pt idx="14">
                  <c:v>2250</c:v>
                </c:pt>
                <c:pt idx="15">
                  <c:v>2450</c:v>
                </c:pt>
              </c:numCache>
            </c:numRef>
          </c:val>
          <c:smooth val="0"/>
        </c:ser>
        <c:ser>
          <c:idx val="1"/>
          <c:order val="1"/>
          <c:tx>
            <c:v>WhatsApp</c:v>
          </c:tx>
          <c:spPr>
            <a:ln>
              <a:solidFill>
                <a:srgbClr val="7030A0"/>
              </a:solidFill>
            </a:ln>
          </c:spPr>
          <c:marker>
            <c:symbol val="none"/>
          </c:marker>
          <c:val>
            <c:numRef>
              <c:f>'Comparision successful Networks'!$E$9:$E$18</c:f>
              <c:numCache>
                <c:formatCode>General</c:formatCode>
                <c:ptCount val="10"/>
                <c:pt idx="0">
                  <c:v>0.01</c:v>
                </c:pt>
                <c:pt idx="1">
                  <c:v>0.25</c:v>
                </c:pt>
                <c:pt idx="2">
                  <c:v>5</c:v>
                </c:pt>
                <c:pt idx="3">
                  <c:v>35</c:v>
                </c:pt>
                <c:pt idx="4">
                  <c:v>150</c:v>
                </c:pt>
                <c:pt idx="5">
                  <c:v>400</c:v>
                </c:pt>
                <c:pt idx="6">
                  <c:v>600</c:v>
                </c:pt>
                <c:pt idx="7">
                  <c:v>900</c:v>
                </c:pt>
                <c:pt idx="8">
                  <c:v>1000</c:v>
                </c:pt>
                <c:pt idx="9">
                  <c:v>1500</c:v>
                </c:pt>
              </c:numCache>
            </c:numRef>
          </c:val>
          <c:smooth val="0"/>
        </c:ser>
        <c:ser>
          <c:idx val="2"/>
          <c:order val="2"/>
          <c:tx>
            <c:v>WeChat</c:v>
          </c:tx>
          <c:spPr>
            <a:ln>
              <a:solidFill>
                <a:srgbClr val="FF0000"/>
              </a:solidFill>
            </a:ln>
          </c:spPr>
          <c:marker>
            <c:symbol val="none"/>
          </c:marker>
          <c:val>
            <c:numRef>
              <c:f>'Comparision successful Networks'!$G$12:$G$20</c:f>
              <c:numCache>
                <c:formatCode>General</c:formatCode>
                <c:ptCount val="9"/>
                <c:pt idx="0">
                  <c:v>50</c:v>
                </c:pt>
                <c:pt idx="1">
                  <c:v>160</c:v>
                </c:pt>
                <c:pt idx="2">
                  <c:v>355</c:v>
                </c:pt>
                <c:pt idx="3">
                  <c:v>500</c:v>
                </c:pt>
                <c:pt idx="4">
                  <c:v>697</c:v>
                </c:pt>
                <c:pt idx="5">
                  <c:v>889</c:v>
                </c:pt>
                <c:pt idx="6">
                  <c:v>980</c:v>
                </c:pt>
                <c:pt idx="7">
                  <c:v>1100</c:v>
                </c:pt>
                <c:pt idx="8">
                  <c:v>1160</c:v>
                </c:pt>
              </c:numCache>
            </c:numRef>
          </c:val>
          <c:smooth val="0"/>
        </c:ser>
        <c:ser>
          <c:idx val="3"/>
          <c:order val="3"/>
          <c:tx>
            <c:v>Instagram</c:v>
          </c:tx>
          <c:spPr>
            <a:ln>
              <a:solidFill>
                <a:srgbClr val="FFC000"/>
              </a:solidFill>
            </a:ln>
          </c:spPr>
          <c:marker>
            <c:symbol val="none"/>
          </c:marker>
          <c:val>
            <c:numRef>
              <c:f>'Comparision successful Networks'!$I$11:$I$19</c:f>
              <c:numCache>
                <c:formatCode>General</c:formatCode>
                <c:ptCount val="9"/>
                <c:pt idx="0">
                  <c:v>1</c:v>
                </c:pt>
                <c:pt idx="1">
                  <c:v>10</c:v>
                </c:pt>
                <c:pt idx="2">
                  <c:v>80</c:v>
                </c:pt>
                <c:pt idx="3">
                  <c:v>150</c:v>
                </c:pt>
                <c:pt idx="4">
                  <c:v>300</c:v>
                </c:pt>
                <c:pt idx="5">
                  <c:v>400</c:v>
                </c:pt>
                <c:pt idx="6">
                  <c:v>600</c:v>
                </c:pt>
                <c:pt idx="7">
                  <c:v>800</c:v>
                </c:pt>
                <c:pt idx="8">
                  <c:v>1000</c:v>
                </c:pt>
              </c:numCache>
            </c:numRef>
          </c:val>
          <c:smooth val="0"/>
        </c:ser>
        <c:ser>
          <c:idx val="4"/>
          <c:order val="4"/>
          <c:tx>
            <c:v>LinkedIn</c:v>
          </c:tx>
          <c:spPr>
            <a:ln>
              <a:solidFill>
                <a:schemeClr val="accent5">
                  <a:lumMod val="75000"/>
                </a:schemeClr>
              </a:solidFill>
            </a:ln>
          </c:spPr>
          <c:marker>
            <c:symbol val="none"/>
          </c:marker>
          <c:val>
            <c:numRef>
              <c:f>'Comparision successful Networks'!$K$4:$K$16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val>
            <c:numRef>
              <c:f>'Comparision successful Networks'!$M$7:$M$17</c:f>
              <c:numCache>
                <c:formatCode>General</c:formatCode>
                <c:ptCount val="11"/>
                <c:pt idx="0">
                  <c:v>1.6E-2</c:v>
                </c:pt>
                <c:pt idx="1">
                  <c:v>0.70199999999999996</c:v>
                </c:pt>
                <c:pt idx="2">
                  <c:v>4</c:v>
                </c:pt>
                <c:pt idx="3">
                  <c:v>18</c:v>
                </c:pt>
                <c:pt idx="4">
                  <c:v>54</c:v>
                </c:pt>
                <c:pt idx="5">
                  <c:v>117</c:v>
                </c:pt>
                <c:pt idx="6">
                  <c:v>185</c:v>
                </c:pt>
                <c:pt idx="7">
                  <c:v>241</c:v>
                </c:pt>
                <c:pt idx="8">
                  <c:v>288</c:v>
                </c:pt>
                <c:pt idx="9">
                  <c:v>305</c:v>
                </c:pt>
                <c:pt idx="10">
                  <c:v>319</c:v>
                </c:pt>
              </c:numCache>
            </c:numRef>
          </c:val>
          <c:smooth val="0"/>
        </c:ser>
        <c:ser>
          <c:idx val="6"/>
          <c:order val="6"/>
          <c:tx>
            <c:v>connect (Realistic)</c:v>
          </c:tx>
          <c:spPr>
            <a:ln>
              <a:solidFill>
                <a:srgbClr val="6DC71B"/>
              </a:solidFill>
            </a:ln>
          </c:spPr>
          <c:marker>
            <c:symbol val="none"/>
          </c:marker>
          <c:val>
            <c:numRef>
              <c:f>'Comparision successful Networks'!$Q$21:$Q$26</c:f>
              <c:numCache>
                <c:formatCode>#,##0.00</c:formatCode>
                <c:ptCount val="6"/>
                <c:pt idx="0">
                  <c:v>5.5007231534220366E-2</c:v>
                </c:pt>
                <c:pt idx="1">
                  <c:v>0.26211723812496734</c:v>
                </c:pt>
                <c:pt idx="2">
                  <c:v>2.0163530394777931</c:v>
                </c:pt>
                <c:pt idx="3">
                  <c:v>5.8912056794336474</c:v>
                </c:pt>
                <c:pt idx="4">
                  <c:v>14.010941670429698</c:v>
                </c:pt>
                <c:pt idx="5">
                  <c:v>25.294677306404136</c:v>
                </c:pt>
              </c:numCache>
            </c:numRef>
          </c:val>
          <c:smooth val="0"/>
        </c:ser>
        <c:ser>
          <c:idx val="7"/>
          <c:order val="7"/>
          <c:tx>
            <c:v>connect (You)</c:v>
          </c:tx>
          <c:spPr>
            <a:ln>
              <a:solidFill>
                <a:schemeClr val="accent6">
                  <a:lumMod val="75000"/>
                </a:schemeClr>
              </a:solidFill>
            </a:ln>
          </c:spPr>
          <c:marker>
            <c:symbol val="none"/>
          </c:marker>
          <c:val>
            <c:numRef>
              <c:f>'Comparision successful Networks'!$O$21:$O$26</c:f>
              <c:numCache>
                <c:formatCode>#,##0.00</c:formatCode>
                <c:ptCount val="6"/>
                <c:pt idx="0">
                  <c:v>2.6787965261703416E-2</c:v>
                </c:pt>
                <c:pt idx="1">
                  <c:v>3.8454597338960603E-2</c:v>
                </c:pt>
                <c:pt idx="2">
                  <c:v>3.8454597338960603E-2</c:v>
                </c:pt>
                <c:pt idx="3">
                  <c:v>3.8454597338960603E-2</c:v>
                </c:pt>
                <c:pt idx="4">
                  <c:v>3.8454597338960603E-2</c:v>
                </c:pt>
                <c:pt idx="5">
                  <c:v>3.8454597338960603E-2</c:v>
                </c:pt>
              </c:numCache>
            </c:numRef>
          </c:val>
          <c:smooth val="0"/>
        </c:ser>
        <c:dLbls>
          <c:showLegendKey val="0"/>
          <c:showVal val="0"/>
          <c:showCatName val="0"/>
          <c:showSerName val="0"/>
          <c:showPercent val="0"/>
          <c:showBubbleSize val="0"/>
        </c:dLbls>
        <c:marker val="1"/>
        <c:smooth val="0"/>
        <c:axId val="107233280"/>
        <c:axId val="141914048"/>
      </c:lineChart>
      <c:catAx>
        <c:axId val="107233280"/>
        <c:scaling>
          <c:orientation val="minMax"/>
        </c:scaling>
        <c:delete val="0"/>
        <c:axPos val="b"/>
        <c:numFmt formatCode="General" sourceLinked="1"/>
        <c:majorTickMark val="out"/>
        <c:minorTickMark val="none"/>
        <c:tickLblPos val="nextTo"/>
        <c:crossAx val="141914048"/>
        <c:crosses val="autoZero"/>
        <c:auto val="1"/>
        <c:lblAlgn val="ctr"/>
        <c:lblOffset val="100"/>
        <c:noMultiLvlLbl val="0"/>
      </c:catAx>
      <c:valAx>
        <c:axId val="141914048"/>
        <c:scaling>
          <c:orientation val="minMax"/>
        </c:scaling>
        <c:delete val="0"/>
        <c:axPos val="l"/>
        <c:majorGridlines/>
        <c:numFmt formatCode="General" sourceLinked="1"/>
        <c:majorTickMark val="out"/>
        <c:minorTickMark val="none"/>
        <c:tickLblPos val="nextTo"/>
        <c:crossAx val="107233280"/>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User</c:v>
          </c:tx>
          <c:spPr>
            <a:solidFill>
              <a:schemeClr val="tx2">
                <a:lumMod val="60000"/>
                <a:lumOff val="40000"/>
              </a:schemeClr>
            </a:solidFill>
          </c:spPr>
          <c:invertIfNegative val="0"/>
          <c:cat>
            <c:strRef>
              <c:f>Pessimistic!$B$260:$I$260</c:f>
              <c:strCache>
                <c:ptCount val="8"/>
                <c:pt idx="0">
                  <c:v>Q1 2020</c:v>
                </c:pt>
                <c:pt idx="1">
                  <c:v>Q2 2020</c:v>
                </c:pt>
                <c:pt idx="2">
                  <c:v>Q3 2020</c:v>
                </c:pt>
                <c:pt idx="3">
                  <c:v>Q4 2020</c:v>
                </c:pt>
                <c:pt idx="4">
                  <c:v>Q1 2021</c:v>
                </c:pt>
                <c:pt idx="5">
                  <c:v>Q2 2021</c:v>
                </c:pt>
                <c:pt idx="6">
                  <c:v>Q3 2021</c:v>
                </c:pt>
                <c:pt idx="7">
                  <c:v>Q4 2021</c:v>
                </c:pt>
              </c:strCache>
            </c:strRef>
          </c:cat>
          <c:val>
            <c:numRef>
              <c:f>(Pessimistic!$F$18:$I$18,Pessimistic!$K$18:$N$18)</c:f>
              <c:numCache>
                <c:formatCode>#,##0</c:formatCode>
                <c:ptCount val="8"/>
                <c:pt idx="0">
                  <c:v>2113.4955729336871</c:v>
                </c:pt>
                <c:pt idx="1">
                  <c:v>4997.4584837622333</c:v>
                </c:pt>
                <c:pt idx="2">
                  <c:v>9342.0355694501686</c:v>
                </c:pt>
                <c:pt idx="3">
                  <c:v>12414.843703027424</c:v>
                </c:pt>
                <c:pt idx="4">
                  <c:v>15897.951667996531</c:v>
                </c:pt>
                <c:pt idx="5">
                  <c:v>18983.132894093862</c:v>
                </c:pt>
                <c:pt idx="6">
                  <c:v>21802.825282139962</c:v>
                </c:pt>
                <c:pt idx="7">
                  <c:v>24539.785133050453</c:v>
                </c:pt>
              </c:numCache>
            </c:numRef>
          </c:val>
        </c:ser>
        <c:ser>
          <c:idx val="1"/>
          <c:order val="1"/>
          <c:tx>
            <c:v>Income</c:v>
          </c:tx>
          <c:spPr>
            <a:solidFill>
              <a:srgbClr val="6DC71B"/>
            </a:solidFill>
          </c:spPr>
          <c:invertIfNegative val="0"/>
          <c:cat>
            <c:strRef>
              <c:f>Pessimistic!$B$260:$I$260</c:f>
              <c:strCache>
                <c:ptCount val="8"/>
                <c:pt idx="0">
                  <c:v>Q1 2020</c:v>
                </c:pt>
                <c:pt idx="1">
                  <c:v>Q2 2020</c:v>
                </c:pt>
                <c:pt idx="2">
                  <c:v>Q3 2020</c:v>
                </c:pt>
                <c:pt idx="3">
                  <c:v>Q4 2020</c:v>
                </c:pt>
                <c:pt idx="4">
                  <c:v>Q1 2021</c:v>
                </c:pt>
                <c:pt idx="5">
                  <c:v>Q2 2021</c:v>
                </c:pt>
                <c:pt idx="6">
                  <c:v>Q3 2021</c:v>
                </c:pt>
                <c:pt idx="7">
                  <c:v>Q4 2021</c:v>
                </c:pt>
              </c:strCache>
            </c:strRef>
          </c:cat>
          <c:val>
            <c:numRef>
              <c:f>(Pessimistic!$F$30:$I$30,Pessimistic!$K$30:$N$30)</c:f>
              <c:numCache>
                <c:formatCode>#,##0\ "€"</c:formatCode>
                <c:ptCount val="8"/>
                <c:pt idx="0">
                  <c:v>0</c:v>
                </c:pt>
                <c:pt idx="1">
                  <c:v>0</c:v>
                </c:pt>
                <c:pt idx="2">
                  <c:v>4814.4114048116116</c:v>
                </c:pt>
                <c:pt idx="3">
                  <c:v>16200.674340743873</c:v>
                </c:pt>
                <c:pt idx="4">
                  <c:v>26276.456170427606</c:v>
                </c:pt>
                <c:pt idx="5">
                  <c:v>38456.89832636674</c:v>
                </c:pt>
                <c:pt idx="6">
                  <c:v>52181.985382073552</c:v>
                </c:pt>
                <c:pt idx="7">
                  <c:v>67601.335718270566</c:v>
                </c:pt>
              </c:numCache>
            </c:numRef>
          </c:val>
        </c:ser>
        <c:ser>
          <c:idx val="2"/>
          <c:order val="2"/>
          <c:tx>
            <c:v>Expenses</c:v>
          </c:tx>
          <c:spPr>
            <a:solidFill>
              <a:srgbClr val="FF0000"/>
            </a:solidFill>
          </c:spPr>
          <c:invertIfNegative val="0"/>
          <c:cat>
            <c:strRef>
              <c:f>Pessimistic!$B$260:$I$260</c:f>
              <c:strCache>
                <c:ptCount val="8"/>
                <c:pt idx="0">
                  <c:v>Q1 2020</c:v>
                </c:pt>
                <c:pt idx="1">
                  <c:v>Q2 2020</c:v>
                </c:pt>
                <c:pt idx="2">
                  <c:v>Q3 2020</c:v>
                </c:pt>
                <c:pt idx="3">
                  <c:v>Q4 2020</c:v>
                </c:pt>
                <c:pt idx="4">
                  <c:v>Q1 2021</c:v>
                </c:pt>
                <c:pt idx="5">
                  <c:v>Q2 2021</c:v>
                </c:pt>
                <c:pt idx="6">
                  <c:v>Q3 2021</c:v>
                </c:pt>
                <c:pt idx="7">
                  <c:v>Q4 2021</c:v>
                </c:pt>
              </c:strCache>
            </c:strRef>
          </c:cat>
          <c:val>
            <c:numRef>
              <c:f>(Pessimistic!$F$47:$I$47,Pessimistic!$K$47:$N$47)</c:f>
              <c:numCache>
                <c:formatCode>#,##0\ "€"</c:formatCode>
                <c:ptCount val="8"/>
                <c:pt idx="0">
                  <c:v>120681.40486718802</c:v>
                </c:pt>
                <c:pt idx="1">
                  <c:v>117764.92375451286</c:v>
                </c:pt>
                <c:pt idx="2">
                  <c:v>62042.584488526991</c:v>
                </c:pt>
                <c:pt idx="3">
                  <c:v>65304.832423181477</c:v>
                </c:pt>
                <c:pt idx="4">
                  <c:v>86550.69945983075</c:v>
                </c:pt>
                <c:pt idx="5">
                  <c:v>92572.84604542458</c:v>
                </c:pt>
                <c:pt idx="6">
                  <c:v>99653.665860617795</c:v>
                </c:pt>
                <c:pt idx="7">
                  <c:v>107600.88282023209</c:v>
                </c:pt>
              </c:numCache>
            </c:numRef>
          </c:val>
        </c:ser>
        <c:ser>
          <c:idx val="3"/>
          <c:order val="3"/>
          <c:tx>
            <c:v>Result</c:v>
          </c:tx>
          <c:spPr>
            <a:solidFill>
              <a:srgbClr val="FFC000"/>
            </a:solidFill>
          </c:spPr>
          <c:invertIfNegative val="0"/>
          <c:cat>
            <c:strRef>
              <c:f>Pessimistic!$B$260:$I$260</c:f>
              <c:strCache>
                <c:ptCount val="8"/>
                <c:pt idx="0">
                  <c:v>Q1 2020</c:v>
                </c:pt>
                <c:pt idx="1">
                  <c:v>Q2 2020</c:v>
                </c:pt>
                <c:pt idx="2">
                  <c:v>Q3 2020</c:v>
                </c:pt>
                <c:pt idx="3">
                  <c:v>Q4 2020</c:v>
                </c:pt>
                <c:pt idx="4">
                  <c:v>Q1 2021</c:v>
                </c:pt>
                <c:pt idx="5">
                  <c:v>Q2 2021</c:v>
                </c:pt>
                <c:pt idx="6">
                  <c:v>Q3 2021</c:v>
                </c:pt>
                <c:pt idx="7">
                  <c:v>Q4 2021</c:v>
                </c:pt>
              </c:strCache>
            </c:strRef>
          </c:cat>
          <c:val>
            <c:numRef>
              <c:f>(Pessimistic!$F$49:$I$49,Pessimistic!$K$49:$N$49)</c:f>
              <c:numCache>
                <c:formatCode>#,##0\ "€"</c:formatCode>
                <c:ptCount val="8"/>
                <c:pt idx="0">
                  <c:v>-120681.40486718802</c:v>
                </c:pt>
                <c:pt idx="1">
                  <c:v>-117764.92375451286</c:v>
                </c:pt>
                <c:pt idx="2">
                  <c:v>-57228.173083715381</c:v>
                </c:pt>
                <c:pt idx="3">
                  <c:v>-49104.1580824376</c:v>
                </c:pt>
                <c:pt idx="4">
                  <c:v>-60274.243289403144</c:v>
                </c:pt>
                <c:pt idx="5">
                  <c:v>-54115.94771905784</c:v>
                </c:pt>
                <c:pt idx="6">
                  <c:v>-47471.680478544244</c:v>
                </c:pt>
                <c:pt idx="7">
                  <c:v>-39999.547101961522</c:v>
                </c:pt>
              </c:numCache>
            </c:numRef>
          </c:val>
        </c:ser>
        <c:dLbls>
          <c:showLegendKey val="0"/>
          <c:showVal val="0"/>
          <c:showCatName val="0"/>
          <c:showSerName val="0"/>
          <c:showPercent val="0"/>
          <c:showBubbleSize val="0"/>
        </c:dLbls>
        <c:gapWidth val="150"/>
        <c:axId val="134051840"/>
        <c:axId val="141917504"/>
      </c:barChart>
      <c:catAx>
        <c:axId val="134051840"/>
        <c:scaling>
          <c:orientation val="minMax"/>
        </c:scaling>
        <c:delete val="0"/>
        <c:axPos val="b"/>
        <c:majorTickMark val="out"/>
        <c:minorTickMark val="none"/>
        <c:tickLblPos val="nextTo"/>
        <c:crossAx val="141917504"/>
        <c:crosses val="autoZero"/>
        <c:auto val="1"/>
        <c:lblAlgn val="ctr"/>
        <c:lblOffset val="100"/>
        <c:noMultiLvlLbl val="0"/>
      </c:catAx>
      <c:valAx>
        <c:axId val="141917504"/>
        <c:scaling>
          <c:orientation val="minMax"/>
        </c:scaling>
        <c:delete val="0"/>
        <c:axPos val="l"/>
        <c:majorGridlines/>
        <c:numFmt formatCode="#,##0" sourceLinked="1"/>
        <c:majorTickMark val="out"/>
        <c:minorTickMark val="none"/>
        <c:tickLblPos val="nextTo"/>
        <c:crossAx val="134051840"/>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User</c:v>
          </c:tx>
          <c:spPr>
            <a:solidFill>
              <a:schemeClr val="tx2">
                <a:lumMod val="60000"/>
                <a:lumOff val="40000"/>
              </a:schemeClr>
            </a:solidFill>
          </c:spPr>
          <c:invertIfNegative val="0"/>
          <c:cat>
            <c:strRef>
              <c:f>Pessimistic!$J$260:$P$260</c:f>
              <c:strCache>
                <c:ptCount val="7"/>
                <c:pt idx="0">
                  <c:v>Q1 2022</c:v>
                </c:pt>
                <c:pt idx="1">
                  <c:v>Q2 2022</c:v>
                </c:pt>
                <c:pt idx="2">
                  <c:v>Q3 2022</c:v>
                </c:pt>
                <c:pt idx="3">
                  <c:v>Q4 2022</c:v>
                </c:pt>
                <c:pt idx="4">
                  <c:v>2023</c:v>
                </c:pt>
                <c:pt idx="5">
                  <c:v>2024</c:v>
                </c:pt>
                <c:pt idx="6">
                  <c:v>2025</c:v>
                </c:pt>
              </c:strCache>
            </c:strRef>
          </c:cat>
          <c:val>
            <c:numRef>
              <c:f>(Pessimistic!$P$18:$S$18,Pessimistic!$V$18:$X$18)</c:f>
              <c:numCache>
                <c:formatCode>#,##0</c:formatCode>
                <c:ptCount val="7"/>
                <c:pt idx="0">
                  <c:v>27260.064806652306</c:v>
                </c:pt>
                <c:pt idx="1">
                  <c:v>30372.028128427432</c:v>
                </c:pt>
                <c:pt idx="2">
                  <c:v>34022.944429988704</c:v>
                </c:pt>
                <c:pt idx="3">
                  <c:v>38404.845540640883</c:v>
                </c:pt>
                <c:pt idx="4">
                  <c:v>109505.45177063168</c:v>
                </c:pt>
                <c:pt idx="5">
                  <c:v>212921.23482655099</c:v>
                </c:pt>
                <c:pt idx="6">
                  <c:v>309238.0271997755</c:v>
                </c:pt>
              </c:numCache>
            </c:numRef>
          </c:val>
        </c:ser>
        <c:ser>
          <c:idx val="1"/>
          <c:order val="1"/>
          <c:tx>
            <c:v>Income</c:v>
          </c:tx>
          <c:spPr>
            <a:solidFill>
              <a:srgbClr val="6DC71B"/>
            </a:solidFill>
          </c:spPr>
          <c:invertIfNegative val="0"/>
          <c:cat>
            <c:strRef>
              <c:f>Pessimistic!$J$260:$P$260</c:f>
              <c:strCache>
                <c:ptCount val="7"/>
                <c:pt idx="0">
                  <c:v>Q1 2022</c:v>
                </c:pt>
                <c:pt idx="1">
                  <c:v>Q2 2022</c:v>
                </c:pt>
                <c:pt idx="2">
                  <c:v>Q3 2022</c:v>
                </c:pt>
                <c:pt idx="3">
                  <c:v>Q4 2022</c:v>
                </c:pt>
                <c:pt idx="4">
                  <c:v>2023</c:v>
                </c:pt>
                <c:pt idx="5">
                  <c:v>2024</c:v>
                </c:pt>
                <c:pt idx="6">
                  <c:v>2025</c:v>
                </c:pt>
              </c:strCache>
            </c:strRef>
          </c:cat>
          <c:val>
            <c:numRef>
              <c:f>(Pessimistic!$P$30:$S$30,Pessimistic!$V$30:$X$30)</c:f>
              <c:numCache>
                <c:formatCode>#,##0\ "€"</c:formatCode>
                <c:ptCount val="7"/>
                <c:pt idx="0">
                  <c:v>84892.772107224358</c:v>
                </c:pt>
                <c:pt idx="1">
                  <c:v>105096.18848501399</c:v>
                </c:pt>
                <c:pt idx="2">
                  <c:v>129388.6082213776</c:v>
                </c:pt>
                <c:pt idx="3">
                  <c:v>159061.63259156671</c:v>
                </c:pt>
                <c:pt idx="4">
                  <c:v>1482061.1790589511</c:v>
                </c:pt>
                <c:pt idx="5">
                  <c:v>3695009.8284037136</c:v>
                </c:pt>
                <c:pt idx="6">
                  <c:v>6735854.4801396113</c:v>
                </c:pt>
              </c:numCache>
            </c:numRef>
          </c:val>
        </c:ser>
        <c:ser>
          <c:idx val="2"/>
          <c:order val="2"/>
          <c:tx>
            <c:v>Expenses</c:v>
          </c:tx>
          <c:spPr>
            <a:solidFill>
              <a:srgbClr val="FF0000"/>
            </a:solidFill>
          </c:spPr>
          <c:invertIfNegative val="0"/>
          <c:cat>
            <c:strRef>
              <c:f>Pessimistic!$J$260:$P$260</c:f>
              <c:strCache>
                <c:ptCount val="7"/>
                <c:pt idx="0">
                  <c:v>Q1 2022</c:v>
                </c:pt>
                <c:pt idx="1">
                  <c:v>Q2 2022</c:v>
                </c:pt>
                <c:pt idx="2">
                  <c:v>Q3 2022</c:v>
                </c:pt>
                <c:pt idx="3">
                  <c:v>Q4 2022</c:v>
                </c:pt>
                <c:pt idx="4">
                  <c:v>2023</c:v>
                </c:pt>
                <c:pt idx="5">
                  <c:v>2024</c:v>
                </c:pt>
                <c:pt idx="6">
                  <c:v>2025</c:v>
                </c:pt>
              </c:strCache>
            </c:strRef>
          </c:cat>
          <c:val>
            <c:numRef>
              <c:f>(Pessimistic!$P$47:$S$47,Pessimistic!$V$47:$X$47)</c:f>
              <c:numCache>
                <c:formatCode>#,##0\ "€"</c:formatCode>
                <c:ptCount val="7"/>
                <c:pt idx="0">
                  <c:v>116505.29484273554</c:v>
                </c:pt>
                <c:pt idx="1">
                  <c:v>126613.0688953246</c:v>
                </c:pt>
                <c:pt idx="2">
                  <c:v>155176.22943466177</c:v>
                </c:pt>
                <c:pt idx="3">
                  <c:v>186219.07287527921</c:v>
                </c:pt>
                <c:pt idx="4">
                  <c:v>1113612.4217427683</c:v>
                </c:pt>
                <c:pt idx="5">
                  <c:v>2305669.0554688368</c:v>
                </c:pt>
                <c:pt idx="6">
                  <c:v>3857603.2402367257</c:v>
                </c:pt>
              </c:numCache>
            </c:numRef>
          </c:val>
        </c:ser>
        <c:ser>
          <c:idx val="3"/>
          <c:order val="3"/>
          <c:tx>
            <c:v>Result</c:v>
          </c:tx>
          <c:spPr>
            <a:solidFill>
              <a:srgbClr val="FFC000"/>
            </a:solidFill>
          </c:spPr>
          <c:invertIfNegative val="0"/>
          <c:cat>
            <c:strRef>
              <c:f>Pessimistic!$J$260:$P$260</c:f>
              <c:strCache>
                <c:ptCount val="7"/>
                <c:pt idx="0">
                  <c:v>Q1 2022</c:v>
                </c:pt>
                <c:pt idx="1">
                  <c:v>Q2 2022</c:v>
                </c:pt>
                <c:pt idx="2">
                  <c:v>Q3 2022</c:v>
                </c:pt>
                <c:pt idx="3">
                  <c:v>Q4 2022</c:v>
                </c:pt>
                <c:pt idx="4">
                  <c:v>2023</c:v>
                </c:pt>
                <c:pt idx="5">
                  <c:v>2024</c:v>
                </c:pt>
                <c:pt idx="6">
                  <c:v>2025</c:v>
                </c:pt>
              </c:strCache>
            </c:strRef>
          </c:cat>
          <c:val>
            <c:numRef>
              <c:f>(Pessimistic!$P$49:$S$49,Pessimistic!$V$49:$X$49)</c:f>
              <c:numCache>
                <c:formatCode>#,##0\ "€"</c:formatCode>
                <c:ptCount val="7"/>
                <c:pt idx="0">
                  <c:v>-31612.522735511186</c:v>
                </c:pt>
                <c:pt idx="1">
                  <c:v>-21516.880410310609</c:v>
                </c:pt>
                <c:pt idx="2">
                  <c:v>-25787.621213284176</c:v>
                </c:pt>
                <c:pt idx="3">
                  <c:v>-27157.440283712494</c:v>
                </c:pt>
                <c:pt idx="4">
                  <c:v>368448.75731618283</c:v>
                </c:pt>
                <c:pt idx="5">
                  <c:v>1389340.7729348768</c:v>
                </c:pt>
                <c:pt idx="6">
                  <c:v>2878251.2399028856</c:v>
                </c:pt>
              </c:numCache>
            </c:numRef>
          </c:val>
        </c:ser>
        <c:dLbls>
          <c:showLegendKey val="0"/>
          <c:showVal val="0"/>
          <c:showCatName val="0"/>
          <c:showSerName val="0"/>
          <c:showPercent val="0"/>
          <c:showBubbleSize val="0"/>
        </c:dLbls>
        <c:gapWidth val="150"/>
        <c:axId val="141021184"/>
        <c:axId val="170485440"/>
      </c:barChart>
      <c:catAx>
        <c:axId val="141021184"/>
        <c:scaling>
          <c:orientation val="minMax"/>
        </c:scaling>
        <c:delete val="0"/>
        <c:axPos val="b"/>
        <c:majorTickMark val="out"/>
        <c:minorTickMark val="none"/>
        <c:tickLblPos val="nextTo"/>
        <c:crossAx val="170485440"/>
        <c:crosses val="autoZero"/>
        <c:auto val="1"/>
        <c:lblAlgn val="ctr"/>
        <c:lblOffset val="100"/>
        <c:noMultiLvlLbl val="0"/>
      </c:catAx>
      <c:valAx>
        <c:axId val="170485440"/>
        <c:scaling>
          <c:orientation val="minMax"/>
        </c:scaling>
        <c:delete val="0"/>
        <c:axPos val="l"/>
        <c:majorGridlines/>
        <c:numFmt formatCode="#,##0" sourceLinked="1"/>
        <c:majorTickMark val="out"/>
        <c:minorTickMark val="none"/>
        <c:tickLblPos val="nextTo"/>
        <c:crossAx val="141021184"/>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Networks'!$C$4:$C$20</c:f>
              <c:numCache>
                <c:formatCode>General</c:formatCode>
                <c:ptCount val="17"/>
                <c:pt idx="0">
                  <c:v>0</c:v>
                </c:pt>
                <c:pt idx="1">
                  <c:v>1</c:v>
                </c:pt>
                <c:pt idx="2">
                  <c:v>6</c:v>
                </c:pt>
                <c:pt idx="3">
                  <c:v>12</c:v>
                </c:pt>
                <c:pt idx="4">
                  <c:v>58</c:v>
                </c:pt>
                <c:pt idx="5">
                  <c:v>145</c:v>
                </c:pt>
                <c:pt idx="6">
                  <c:v>360</c:v>
                </c:pt>
                <c:pt idx="7">
                  <c:v>608</c:v>
                </c:pt>
                <c:pt idx="8">
                  <c:v>845</c:v>
                </c:pt>
                <c:pt idx="9">
                  <c:v>1056</c:v>
                </c:pt>
                <c:pt idx="10">
                  <c:v>1230</c:v>
                </c:pt>
                <c:pt idx="11">
                  <c:v>1393</c:v>
                </c:pt>
                <c:pt idx="12">
                  <c:v>1591</c:v>
                </c:pt>
                <c:pt idx="13">
                  <c:v>1860</c:v>
                </c:pt>
                <c:pt idx="14">
                  <c:v>2072</c:v>
                </c:pt>
                <c:pt idx="15">
                  <c:v>2250</c:v>
                </c:pt>
                <c:pt idx="16">
                  <c:v>2450</c:v>
                </c:pt>
              </c:numCache>
            </c:numRef>
          </c:val>
          <c:smooth val="0"/>
        </c:ser>
        <c:ser>
          <c:idx val="1"/>
          <c:order val="1"/>
          <c:tx>
            <c:v>WhatsApp</c:v>
          </c:tx>
          <c:spPr>
            <a:ln>
              <a:solidFill>
                <a:srgbClr val="7030A0"/>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Networks'!$E$4:$E$18</c:f>
              <c:numCache>
                <c:formatCode>General</c:formatCode>
                <c:ptCount val="15"/>
                <c:pt idx="0">
                  <c:v>0</c:v>
                </c:pt>
                <c:pt idx="1">
                  <c:v>0</c:v>
                </c:pt>
                <c:pt idx="2">
                  <c:v>0</c:v>
                </c:pt>
                <c:pt idx="3">
                  <c:v>0</c:v>
                </c:pt>
                <c:pt idx="4">
                  <c:v>0</c:v>
                </c:pt>
                <c:pt idx="5">
                  <c:v>0.01</c:v>
                </c:pt>
                <c:pt idx="6">
                  <c:v>0.25</c:v>
                </c:pt>
                <c:pt idx="7">
                  <c:v>5</c:v>
                </c:pt>
                <c:pt idx="8">
                  <c:v>35</c:v>
                </c:pt>
                <c:pt idx="9">
                  <c:v>150</c:v>
                </c:pt>
                <c:pt idx="10">
                  <c:v>400</c:v>
                </c:pt>
                <c:pt idx="11">
                  <c:v>600</c:v>
                </c:pt>
                <c:pt idx="12">
                  <c:v>900</c:v>
                </c:pt>
                <c:pt idx="13">
                  <c:v>1000</c:v>
                </c:pt>
                <c:pt idx="14">
                  <c:v>1500</c:v>
                </c:pt>
              </c:numCache>
            </c:numRef>
          </c:val>
          <c:smooth val="0"/>
        </c:ser>
        <c:ser>
          <c:idx val="2"/>
          <c:order val="2"/>
          <c:tx>
            <c:v>WeChat</c:v>
          </c:tx>
          <c:spPr>
            <a:ln>
              <a:solidFill>
                <a:srgbClr val="FF0000"/>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Networks'!$G$4:$G$20</c:f>
              <c:numCache>
                <c:formatCode>General</c:formatCode>
                <c:ptCount val="17"/>
                <c:pt idx="0">
                  <c:v>0</c:v>
                </c:pt>
                <c:pt idx="1">
                  <c:v>0</c:v>
                </c:pt>
                <c:pt idx="2">
                  <c:v>0</c:v>
                </c:pt>
                <c:pt idx="3">
                  <c:v>0</c:v>
                </c:pt>
                <c:pt idx="4">
                  <c:v>0</c:v>
                </c:pt>
                <c:pt idx="5">
                  <c:v>0</c:v>
                </c:pt>
                <c:pt idx="6">
                  <c:v>0</c:v>
                </c:pt>
                <c:pt idx="7">
                  <c:v>0</c:v>
                </c:pt>
                <c:pt idx="8">
                  <c:v>50</c:v>
                </c:pt>
                <c:pt idx="9">
                  <c:v>160</c:v>
                </c:pt>
                <c:pt idx="10">
                  <c:v>355</c:v>
                </c:pt>
                <c:pt idx="11">
                  <c:v>500</c:v>
                </c:pt>
                <c:pt idx="12">
                  <c:v>697</c:v>
                </c:pt>
                <c:pt idx="13">
                  <c:v>889</c:v>
                </c:pt>
                <c:pt idx="14">
                  <c:v>980</c:v>
                </c:pt>
                <c:pt idx="15">
                  <c:v>1100</c:v>
                </c:pt>
                <c:pt idx="16">
                  <c:v>1160</c:v>
                </c:pt>
              </c:numCache>
            </c:numRef>
          </c:val>
          <c:smooth val="0"/>
        </c:ser>
        <c:ser>
          <c:idx val="3"/>
          <c:order val="3"/>
          <c:tx>
            <c:v>Instagram</c:v>
          </c:tx>
          <c:spPr>
            <a:ln>
              <a:solidFill>
                <a:srgbClr val="FFC000"/>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Networks'!$I$4:$I$19</c:f>
              <c:numCache>
                <c:formatCode>General</c:formatCode>
                <c:ptCount val="16"/>
                <c:pt idx="0">
                  <c:v>0</c:v>
                </c:pt>
                <c:pt idx="1">
                  <c:v>0</c:v>
                </c:pt>
                <c:pt idx="2">
                  <c:v>0</c:v>
                </c:pt>
                <c:pt idx="3">
                  <c:v>0</c:v>
                </c:pt>
                <c:pt idx="4">
                  <c:v>0</c:v>
                </c:pt>
                <c:pt idx="5">
                  <c:v>0</c:v>
                </c:pt>
                <c:pt idx="6">
                  <c:v>0</c:v>
                </c:pt>
                <c:pt idx="7">
                  <c:v>1</c:v>
                </c:pt>
                <c:pt idx="8">
                  <c:v>10</c:v>
                </c:pt>
                <c:pt idx="9">
                  <c:v>80</c:v>
                </c:pt>
                <c:pt idx="10">
                  <c:v>150</c:v>
                </c:pt>
                <c:pt idx="11">
                  <c:v>300</c:v>
                </c:pt>
                <c:pt idx="12">
                  <c:v>400</c:v>
                </c:pt>
                <c:pt idx="13">
                  <c:v>600</c:v>
                </c:pt>
                <c:pt idx="14">
                  <c:v>800</c:v>
                </c:pt>
                <c:pt idx="15">
                  <c:v>1000</c:v>
                </c:pt>
              </c:numCache>
            </c:numRef>
          </c:val>
          <c:smooth val="0"/>
        </c:ser>
        <c:ser>
          <c:idx val="4"/>
          <c:order val="4"/>
          <c:tx>
            <c:v>LinkedIn</c:v>
          </c:tx>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Networks'!$M$4:$M$17</c:f>
              <c:numCache>
                <c:formatCode>General</c:formatCode>
                <c:ptCount val="14"/>
                <c:pt idx="0">
                  <c:v>0</c:v>
                </c:pt>
                <c:pt idx="1">
                  <c:v>0</c:v>
                </c:pt>
                <c:pt idx="2">
                  <c:v>0</c:v>
                </c:pt>
                <c:pt idx="3">
                  <c:v>1.6E-2</c:v>
                </c:pt>
                <c:pt idx="4">
                  <c:v>0.70199999999999996</c:v>
                </c:pt>
                <c:pt idx="5">
                  <c:v>4</c:v>
                </c:pt>
                <c:pt idx="6">
                  <c:v>18</c:v>
                </c:pt>
                <c:pt idx="7">
                  <c:v>54</c:v>
                </c:pt>
                <c:pt idx="8">
                  <c:v>117</c:v>
                </c:pt>
                <c:pt idx="9">
                  <c:v>185</c:v>
                </c:pt>
                <c:pt idx="10">
                  <c:v>241</c:v>
                </c:pt>
                <c:pt idx="11">
                  <c:v>288</c:v>
                </c:pt>
                <c:pt idx="12">
                  <c:v>305</c:v>
                </c:pt>
                <c:pt idx="13">
                  <c:v>319</c:v>
                </c:pt>
              </c:numCache>
            </c:numRef>
          </c:val>
          <c:smooth val="0"/>
        </c:ser>
        <c:ser>
          <c:idx val="6"/>
          <c:order val="6"/>
          <c:tx>
            <c:v>connect (Realistic)</c:v>
          </c:tx>
          <c:spPr>
            <a:ln>
              <a:solidFill>
                <a:srgbClr val="6DC71B"/>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Networks'!$Q$4:$Q$26</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formatCode="#,##0.00">
                  <c:v>5.5007231534220366E-2</c:v>
                </c:pt>
                <c:pt idx="18" formatCode="#,##0.00">
                  <c:v>0.26211723812496734</c:v>
                </c:pt>
                <c:pt idx="19" formatCode="#,##0.00">
                  <c:v>2.0163530394777931</c:v>
                </c:pt>
                <c:pt idx="20" formatCode="#,##0.00">
                  <c:v>5.8912056794336474</c:v>
                </c:pt>
                <c:pt idx="21" formatCode="#,##0.00">
                  <c:v>14.010941670429698</c:v>
                </c:pt>
                <c:pt idx="22" formatCode="#,##0.00">
                  <c:v>25.294677306404136</c:v>
                </c:pt>
              </c:numCache>
            </c:numRef>
          </c:val>
          <c:smooth val="0"/>
        </c:ser>
        <c:ser>
          <c:idx val="7"/>
          <c:order val="7"/>
          <c:tx>
            <c:v>connect (You)</c:v>
          </c:tx>
          <c:spPr>
            <a:ln>
              <a:solidFill>
                <a:schemeClr val="accent6">
                  <a:lumMod val="75000"/>
                </a:schemeClr>
              </a:solidFill>
            </a:ln>
          </c:spPr>
          <c:marker>
            <c:symbol val="none"/>
          </c:marker>
          <c:val>
            <c:numRef>
              <c:f>'Comparision successful Networks'!$O$4:$O$26</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formatCode="#,##0.00">
                  <c:v>2.6787965261703416E-2</c:v>
                </c:pt>
                <c:pt idx="18" formatCode="#,##0.00">
                  <c:v>3.8454597338960603E-2</c:v>
                </c:pt>
                <c:pt idx="19" formatCode="#,##0.00">
                  <c:v>3.8454597338960603E-2</c:v>
                </c:pt>
                <c:pt idx="20" formatCode="#,##0.00">
                  <c:v>3.8454597338960603E-2</c:v>
                </c:pt>
                <c:pt idx="21" formatCode="#,##0.00">
                  <c:v>3.8454597338960603E-2</c:v>
                </c:pt>
                <c:pt idx="22" formatCode="#,##0.00">
                  <c:v>3.8454597338960603E-2</c:v>
                </c:pt>
              </c:numCache>
            </c:numRef>
          </c:val>
          <c:smooth val="0"/>
        </c:ser>
        <c:dLbls>
          <c:showLegendKey val="0"/>
          <c:showVal val="0"/>
          <c:showCatName val="0"/>
          <c:showSerName val="0"/>
          <c:showPercent val="0"/>
          <c:showBubbleSize val="0"/>
        </c:dLbls>
        <c:marker val="1"/>
        <c:smooth val="0"/>
        <c:axId val="141023232"/>
        <c:axId val="173687936"/>
      </c:lineChart>
      <c:catAx>
        <c:axId val="141023232"/>
        <c:scaling>
          <c:orientation val="minMax"/>
        </c:scaling>
        <c:delete val="0"/>
        <c:axPos val="b"/>
        <c:numFmt formatCode="@" sourceLinked="0"/>
        <c:majorTickMark val="out"/>
        <c:minorTickMark val="none"/>
        <c:tickLblPos val="nextTo"/>
        <c:crossAx val="173687936"/>
        <c:crosses val="autoZero"/>
        <c:auto val="1"/>
        <c:lblAlgn val="ctr"/>
        <c:lblOffset val="100"/>
        <c:noMultiLvlLbl val="0"/>
      </c:catAx>
      <c:valAx>
        <c:axId val="173687936"/>
        <c:scaling>
          <c:orientation val="minMax"/>
        </c:scaling>
        <c:delete val="0"/>
        <c:axPos val="l"/>
        <c:majorGridlines/>
        <c:numFmt formatCode="General" sourceLinked="1"/>
        <c:majorTickMark val="out"/>
        <c:minorTickMark val="none"/>
        <c:tickLblPos val="nextTo"/>
        <c:crossAx val="141023232"/>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val>
            <c:numRef>
              <c:f>'Comparision successful Networks'!$C$5:$C$18</c:f>
              <c:numCache>
                <c:formatCode>General</c:formatCode>
                <c:ptCount val="14"/>
                <c:pt idx="0">
                  <c:v>1</c:v>
                </c:pt>
                <c:pt idx="1">
                  <c:v>6</c:v>
                </c:pt>
                <c:pt idx="2">
                  <c:v>12</c:v>
                </c:pt>
                <c:pt idx="3">
                  <c:v>58</c:v>
                </c:pt>
                <c:pt idx="4">
                  <c:v>145</c:v>
                </c:pt>
                <c:pt idx="5">
                  <c:v>360</c:v>
                </c:pt>
                <c:pt idx="6">
                  <c:v>608</c:v>
                </c:pt>
                <c:pt idx="7">
                  <c:v>845</c:v>
                </c:pt>
                <c:pt idx="8">
                  <c:v>1056</c:v>
                </c:pt>
                <c:pt idx="9">
                  <c:v>1230</c:v>
                </c:pt>
                <c:pt idx="10">
                  <c:v>1393</c:v>
                </c:pt>
                <c:pt idx="11">
                  <c:v>1591</c:v>
                </c:pt>
                <c:pt idx="12">
                  <c:v>1860</c:v>
                </c:pt>
                <c:pt idx="13">
                  <c:v>2072</c:v>
                </c:pt>
              </c:numCache>
            </c:numRef>
          </c:val>
          <c:smooth val="0"/>
        </c:ser>
        <c:ser>
          <c:idx val="1"/>
          <c:order val="1"/>
          <c:tx>
            <c:v>WhatsApp</c:v>
          </c:tx>
          <c:spPr>
            <a:ln>
              <a:solidFill>
                <a:srgbClr val="7030A0"/>
              </a:solidFill>
            </a:ln>
          </c:spPr>
          <c:marker>
            <c:symbol val="none"/>
          </c:marker>
          <c:val>
            <c:numRef>
              <c:f>'Comparision successful Networks'!$E$9:$E$18</c:f>
              <c:numCache>
                <c:formatCode>General</c:formatCode>
                <c:ptCount val="10"/>
                <c:pt idx="0">
                  <c:v>0.01</c:v>
                </c:pt>
                <c:pt idx="1">
                  <c:v>0.25</c:v>
                </c:pt>
                <c:pt idx="2">
                  <c:v>5</c:v>
                </c:pt>
                <c:pt idx="3">
                  <c:v>35</c:v>
                </c:pt>
                <c:pt idx="4">
                  <c:v>150</c:v>
                </c:pt>
                <c:pt idx="5">
                  <c:v>400</c:v>
                </c:pt>
                <c:pt idx="6">
                  <c:v>600</c:v>
                </c:pt>
                <c:pt idx="7">
                  <c:v>900</c:v>
                </c:pt>
                <c:pt idx="8">
                  <c:v>1000</c:v>
                </c:pt>
                <c:pt idx="9">
                  <c:v>1500</c:v>
                </c:pt>
              </c:numCache>
            </c:numRef>
          </c:val>
          <c:smooth val="0"/>
        </c:ser>
        <c:ser>
          <c:idx val="2"/>
          <c:order val="2"/>
          <c:tx>
            <c:v>WeChat</c:v>
          </c:tx>
          <c:spPr>
            <a:ln>
              <a:solidFill>
                <a:srgbClr val="FF0000"/>
              </a:solidFill>
            </a:ln>
          </c:spPr>
          <c:marker>
            <c:symbol val="none"/>
          </c:marker>
          <c:val>
            <c:numRef>
              <c:f>'Comparision successful Networks'!$G$12:$G$18</c:f>
              <c:numCache>
                <c:formatCode>General</c:formatCode>
                <c:ptCount val="7"/>
                <c:pt idx="0">
                  <c:v>50</c:v>
                </c:pt>
                <c:pt idx="1">
                  <c:v>160</c:v>
                </c:pt>
                <c:pt idx="2">
                  <c:v>355</c:v>
                </c:pt>
                <c:pt idx="3">
                  <c:v>500</c:v>
                </c:pt>
                <c:pt idx="4">
                  <c:v>697</c:v>
                </c:pt>
                <c:pt idx="5">
                  <c:v>889</c:v>
                </c:pt>
                <c:pt idx="6">
                  <c:v>980</c:v>
                </c:pt>
              </c:numCache>
            </c:numRef>
          </c:val>
          <c:smooth val="0"/>
        </c:ser>
        <c:ser>
          <c:idx val="3"/>
          <c:order val="3"/>
          <c:tx>
            <c:v>Instagram</c:v>
          </c:tx>
          <c:spPr>
            <a:ln>
              <a:solidFill>
                <a:srgbClr val="FFC000"/>
              </a:solidFill>
            </a:ln>
          </c:spPr>
          <c:marker>
            <c:symbol val="none"/>
          </c:marker>
          <c:val>
            <c:numRef>
              <c:f>'Comparision successful Networks'!$I$11:$I$18</c:f>
              <c:numCache>
                <c:formatCode>General</c:formatCode>
                <c:ptCount val="8"/>
                <c:pt idx="0">
                  <c:v>1</c:v>
                </c:pt>
                <c:pt idx="1">
                  <c:v>10</c:v>
                </c:pt>
                <c:pt idx="2">
                  <c:v>80</c:v>
                </c:pt>
                <c:pt idx="3">
                  <c:v>150</c:v>
                </c:pt>
                <c:pt idx="4">
                  <c:v>300</c:v>
                </c:pt>
                <c:pt idx="5">
                  <c:v>400</c:v>
                </c:pt>
                <c:pt idx="6">
                  <c:v>600</c:v>
                </c:pt>
                <c:pt idx="7">
                  <c:v>800</c:v>
                </c:pt>
              </c:numCache>
            </c:numRef>
          </c:val>
          <c:smooth val="0"/>
        </c:ser>
        <c:ser>
          <c:idx val="4"/>
          <c:order val="4"/>
          <c:tx>
            <c:v>LinkedIn</c:v>
          </c:tx>
          <c:spPr>
            <a:ln>
              <a:solidFill>
                <a:schemeClr val="accent5">
                  <a:lumMod val="75000"/>
                </a:schemeClr>
              </a:solidFill>
            </a:ln>
          </c:spPr>
          <c:marker>
            <c:symbol val="none"/>
          </c:marker>
          <c:val>
            <c:numRef>
              <c:f>'Comparision successful Networks'!$K$4:$K$16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val>
            <c:numRef>
              <c:f>'Comparision successful Networks'!$M$7:$M$17</c:f>
              <c:numCache>
                <c:formatCode>General</c:formatCode>
                <c:ptCount val="11"/>
                <c:pt idx="0">
                  <c:v>1.6E-2</c:v>
                </c:pt>
                <c:pt idx="1">
                  <c:v>0.70199999999999996</c:v>
                </c:pt>
                <c:pt idx="2">
                  <c:v>4</c:v>
                </c:pt>
                <c:pt idx="3">
                  <c:v>18</c:v>
                </c:pt>
                <c:pt idx="4">
                  <c:v>54</c:v>
                </c:pt>
                <c:pt idx="5">
                  <c:v>117</c:v>
                </c:pt>
                <c:pt idx="6">
                  <c:v>185</c:v>
                </c:pt>
                <c:pt idx="7">
                  <c:v>241</c:v>
                </c:pt>
                <c:pt idx="8">
                  <c:v>288</c:v>
                </c:pt>
                <c:pt idx="9">
                  <c:v>305</c:v>
                </c:pt>
                <c:pt idx="10">
                  <c:v>319</c:v>
                </c:pt>
              </c:numCache>
            </c:numRef>
          </c:val>
          <c:smooth val="0"/>
        </c:ser>
        <c:ser>
          <c:idx val="6"/>
          <c:order val="6"/>
          <c:tx>
            <c:v>connect (Wir)</c:v>
          </c:tx>
          <c:spPr>
            <a:ln>
              <a:solidFill>
                <a:srgbClr val="6DC71B"/>
              </a:solidFill>
            </a:ln>
          </c:spPr>
          <c:marker>
            <c:symbol val="none"/>
          </c:marker>
          <c:val>
            <c:numRef>
              <c:f>'Comparision successful Networks'!$Q$21:$Q$26</c:f>
              <c:numCache>
                <c:formatCode>#,##0.00</c:formatCode>
                <c:ptCount val="6"/>
                <c:pt idx="0">
                  <c:v>5.5007231534220366E-2</c:v>
                </c:pt>
                <c:pt idx="1">
                  <c:v>0.26211723812496734</c:v>
                </c:pt>
                <c:pt idx="2">
                  <c:v>2.0163530394777931</c:v>
                </c:pt>
                <c:pt idx="3">
                  <c:v>5.8912056794336474</c:v>
                </c:pt>
                <c:pt idx="4">
                  <c:v>14.010941670429698</c:v>
                </c:pt>
                <c:pt idx="5">
                  <c:v>25.294677306404136</c:v>
                </c:pt>
              </c:numCache>
            </c:numRef>
          </c:val>
          <c:smooth val="0"/>
        </c:ser>
        <c:ser>
          <c:idx val="7"/>
          <c:order val="7"/>
          <c:tx>
            <c:v>connect (Sie)</c:v>
          </c:tx>
          <c:spPr>
            <a:ln>
              <a:solidFill>
                <a:schemeClr val="accent6">
                  <a:lumMod val="75000"/>
                </a:schemeClr>
              </a:solidFill>
            </a:ln>
          </c:spPr>
          <c:marker>
            <c:symbol val="none"/>
          </c:marker>
          <c:val>
            <c:numRef>
              <c:f>'Comparision successful Networks'!$O$21:$O$26</c:f>
              <c:numCache>
                <c:formatCode>#,##0.00</c:formatCode>
                <c:ptCount val="6"/>
                <c:pt idx="0">
                  <c:v>2.6787965261703416E-2</c:v>
                </c:pt>
                <c:pt idx="1">
                  <c:v>3.8454597338960603E-2</c:v>
                </c:pt>
                <c:pt idx="2">
                  <c:v>3.8454597338960603E-2</c:v>
                </c:pt>
                <c:pt idx="3">
                  <c:v>3.8454597338960603E-2</c:v>
                </c:pt>
                <c:pt idx="4">
                  <c:v>3.8454597338960603E-2</c:v>
                </c:pt>
                <c:pt idx="5">
                  <c:v>3.8454597338960603E-2</c:v>
                </c:pt>
              </c:numCache>
            </c:numRef>
          </c:val>
          <c:smooth val="0"/>
        </c:ser>
        <c:dLbls>
          <c:showLegendKey val="0"/>
          <c:showVal val="0"/>
          <c:showCatName val="0"/>
          <c:showSerName val="0"/>
          <c:showPercent val="0"/>
          <c:showBubbleSize val="0"/>
        </c:dLbls>
        <c:marker val="1"/>
        <c:smooth val="0"/>
        <c:axId val="141024256"/>
        <c:axId val="170487744"/>
      </c:lineChart>
      <c:catAx>
        <c:axId val="141024256"/>
        <c:scaling>
          <c:orientation val="minMax"/>
        </c:scaling>
        <c:delete val="0"/>
        <c:axPos val="b"/>
        <c:numFmt formatCode="General" sourceLinked="1"/>
        <c:majorTickMark val="out"/>
        <c:minorTickMark val="none"/>
        <c:tickLblPos val="nextTo"/>
        <c:crossAx val="170487744"/>
        <c:crosses val="autoZero"/>
        <c:auto val="1"/>
        <c:lblAlgn val="ctr"/>
        <c:lblOffset val="100"/>
        <c:noMultiLvlLbl val="0"/>
      </c:catAx>
      <c:valAx>
        <c:axId val="170487744"/>
        <c:scaling>
          <c:orientation val="minMax"/>
        </c:scaling>
        <c:delete val="0"/>
        <c:axPos val="l"/>
        <c:majorGridlines/>
        <c:numFmt formatCode="General" sourceLinked="1"/>
        <c:majorTickMark val="out"/>
        <c:minorTickMark val="none"/>
        <c:tickLblPos val="nextTo"/>
        <c:crossAx val="141024256"/>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val>
            <c:numRef>
              <c:f>'Comparision successful Networks'!$C$5:$C$20</c:f>
              <c:numCache>
                <c:formatCode>General</c:formatCode>
                <c:ptCount val="16"/>
                <c:pt idx="0">
                  <c:v>1</c:v>
                </c:pt>
                <c:pt idx="1">
                  <c:v>6</c:v>
                </c:pt>
                <c:pt idx="2">
                  <c:v>12</c:v>
                </c:pt>
                <c:pt idx="3">
                  <c:v>58</c:v>
                </c:pt>
                <c:pt idx="4">
                  <c:v>145</c:v>
                </c:pt>
                <c:pt idx="5">
                  <c:v>360</c:v>
                </c:pt>
                <c:pt idx="6">
                  <c:v>608</c:v>
                </c:pt>
                <c:pt idx="7">
                  <c:v>845</c:v>
                </c:pt>
                <c:pt idx="8">
                  <c:v>1056</c:v>
                </c:pt>
                <c:pt idx="9">
                  <c:v>1230</c:v>
                </c:pt>
                <c:pt idx="10">
                  <c:v>1393</c:v>
                </c:pt>
                <c:pt idx="11">
                  <c:v>1591</c:v>
                </c:pt>
                <c:pt idx="12">
                  <c:v>1860</c:v>
                </c:pt>
                <c:pt idx="13">
                  <c:v>2072</c:v>
                </c:pt>
                <c:pt idx="14">
                  <c:v>2250</c:v>
                </c:pt>
                <c:pt idx="15">
                  <c:v>2450</c:v>
                </c:pt>
              </c:numCache>
            </c:numRef>
          </c:val>
          <c:smooth val="0"/>
        </c:ser>
        <c:ser>
          <c:idx val="1"/>
          <c:order val="1"/>
          <c:tx>
            <c:v>WhatsApp</c:v>
          </c:tx>
          <c:spPr>
            <a:ln>
              <a:solidFill>
                <a:srgbClr val="7030A0"/>
              </a:solidFill>
            </a:ln>
          </c:spPr>
          <c:marker>
            <c:symbol val="none"/>
          </c:marker>
          <c:val>
            <c:numRef>
              <c:f>'Comparision successful Networks'!$E$9:$E$18</c:f>
              <c:numCache>
                <c:formatCode>General</c:formatCode>
                <c:ptCount val="10"/>
                <c:pt idx="0">
                  <c:v>0.01</c:v>
                </c:pt>
                <c:pt idx="1">
                  <c:v>0.25</c:v>
                </c:pt>
                <c:pt idx="2">
                  <c:v>5</c:v>
                </c:pt>
                <c:pt idx="3">
                  <c:v>35</c:v>
                </c:pt>
                <c:pt idx="4">
                  <c:v>150</c:v>
                </c:pt>
                <c:pt idx="5">
                  <c:v>400</c:v>
                </c:pt>
                <c:pt idx="6">
                  <c:v>600</c:v>
                </c:pt>
                <c:pt idx="7">
                  <c:v>900</c:v>
                </c:pt>
                <c:pt idx="8">
                  <c:v>1000</c:v>
                </c:pt>
                <c:pt idx="9">
                  <c:v>1500</c:v>
                </c:pt>
              </c:numCache>
            </c:numRef>
          </c:val>
          <c:smooth val="0"/>
        </c:ser>
        <c:ser>
          <c:idx val="2"/>
          <c:order val="2"/>
          <c:tx>
            <c:v>WeChat</c:v>
          </c:tx>
          <c:spPr>
            <a:ln>
              <a:solidFill>
                <a:srgbClr val="FF0000"/>
              </a:solidFill>
            </a:ln>
          </c:spPr>
          <c:marker>
            <c:symbol val="none"/>
          </c:marker>
          <c:val>
            <c:numRef>
              <c:f>'Comparision successful Networks'!$G$12:$G$20</c:f>
              <c:numCache>
                <c:formatCode>General</c:formatCode>
                <c:ptCount val="9"/>
                <c:pt idx="0">
                  <c:v>50</c:v>
                </c:pt>
                <c:pt idx="1">
                  <c:v>160</c:v>
                </c:pt>
                <c:pt idx="2">
                  <c:v>355</c:v>
                </c:pt>
                <c:pt idx="3">
                  <c:v>500</c:v>
                </c:pt>
                <c:pt idx="4">
                  <c:v>697</c:v>
                </c:pt>
                <c:pt idx="5">
                  <c:v>889</c:v>
                </c:pt>
                <c:pt idx="6">
                  <c:v>980</c:v>
                </c:pt>
                <c:pt idx="7">
                  <c:v>1100</c:v>
                </c:pt>
                <c:pt idx="8">
                  <c:v>1160</c:v>
                </c:pt>
              </c:numCache>
            </c:numRef>
          </c:val>
          <c:smooth val="0"/>
        </c:ser>
        <c:ser>
          <c:idx val="3"/>
          <c:order val="3"/>
          <c:tx>
            <c:v>Instagram</c:v>
          </c:tx>
          <c:spPr>
            <a:ln>
              <a:solidFill>
                <a:srgbClr val="FFC000"/>
              </a:solidFill>
            </a:ln>
          </c:spPr>
          <c:marker>
            <c:symbol val="none"/>
          </c:marker>
          <c:val>
            <c:numRef>
              <c:f>'Comparision successful Networks'!$I$11:$I$19</c:f>
              <c:numCache>
                <c:formatCode>General</c:formatCode>
                <c:ptCount val="9"/>
                <c:pt idx="0">
                  <c:v>1</c:v>
                </c:pt>
                <c:pt idx="1">
                  <c:v>10</c:v>
                </c:pt>
                <c:pt idx="2">
                  <c:v>80</c:v>
                </c:pt>
                <c:pt idx="3">
                  <c:v>150</c:v>
                </c:pt>
                <c:pt idx="4">
                  <c:v>300</c:v>
                </c:pt>
                <c:pt idx="5">
                  <c:v>400</c:v>
                </c:pt>
                <c:pt idx="6">
                  <c:v>600</c:v>
                </c:pt>
                <c:pt idx="7">
                  <c:v>800</c:v>
                </c:pt>
                <c:pt idx="8">
                  <c:v>1000</c:v>
                </c:pt>
              </c:numCache>
            </c:numRef>
          </c:val>
          <c:smooth val="0"/>
        </c:ser>
        <c:ser>
          <c:idx val="4"/>
          <c:order val="4"/>
          <c:tx>
            <c:v>LinkedIn</c:v>
          </c:tx>
          <c:spPr>
            <a:ln>
              <a:solidFill>
                <a:schemeClr val="accent5">
                  <a:lumMod val="75000"/>
                </a:schemeClr>
              </a:solidFill>
            </a:ln>
          </c:spPr>
          <c:marker>
            <c:symbol val="none"/>
          </c:marker>
          <c:val>
            <c:numRef>
              <c:f>'Comparision successful Networks'!$K$4:$K$16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val>
            <c:numRef>
              <c:f>'Comparision successful Networks'!$M$7:$M$17</c:f>
              <c:numCache>
                <c:formatCode>General</c:formatCode>
                <c:ptCount val="11"/>
                <c:pt idx="0">
                  <c:v>1.6E-2</c:v>
                </c:pt>
                <c:pt idx="1">
                  <c:v>0.70199999999999996</c:v>
                </c:pt>
                <c:pt idx="2">
                  <c:v>4</c:v>
                </c:pt>
                <c:pt idx="3">
                  <c:v>18</c:v>
                </c:pt>
                <c:pt idx="4">
                  <c:v>54</c:v>
                </c:pt>
                <c:pt idx="5">
                  <c:v>117</c:v>
                </c:pt>
                <c:pt idx="6">
                  <c:v>185</c:v>
                </c:pt>
                <c:pt idx="7">
                  <c:v>241</c:v>
                </c:pt>
                <c:pt idx="8">
                  <c:v>288</c:v>
                </c:pt>
                <c:pt idx="9">
                  <c:v>305</c:v>
                </c:pt>
                <c:pt idx="10">
                  <c:v>319</c:v>
                </c:pt>
              </c:numCache>
            </c:numRef>
          </c:val>
          <c:smooth val="0"/>
        </c:ser>
        <c:ser>
          <c:idx val="6"/>
          <c:order val="6"/>
          <c:tx>
            <c:v>connect (Realistic)</c:v>
          </c:tx>
          <c:spPr>
            <a:ln>
              <a:solidFill>
                <a:srgbClr val="6DC71B"/>
              </a:solidFill>
            </a:ln>
          </c:spPr>
          <c:marker>
            <c:symbol val="none"/>
          </c:marker>
          <c:val>
            <c:numRef>
              <c:f>'Comparision successful Networks'!$Q$21:$Q$26</c:f>
              <c:numCache>
                <c:formatCode>#,##0.00</c:formatCode>
                <c:ptCount val="6"/>
                <c:pt idx="0">
                  <c:v>5.5007231534220366E-2</c:v>
                </c:pt>
                <c:pt idx="1">
                  <c:v>0.26211723812496734</c:v>
                </c:pt>
                <c:pt idx="2">
                  <c:v>2.0163530394777931</c:v>
                </c:pt>
                <c:pt idx="3">
                  <c:v>5.8912056794336474</c:v>
                </c:pt>
                <c:pt idx="4">
                  <c:v>14.010941670429698</c:v>
                </c:pt>
                <c:pt idx="5">
                  <c:v>25.294677306404136</c:v>
                </c:pt>
              </c:numCache>
            </c:numRef>
          </c:val>
          <c:smooth val="0"/>
        </c:ser>
        <c:ser>
          <c:idx val="7"/>
          <c:order val="7"/>
          <c:tx>
            <c:v>connect (You)</c:v>
          </c:tx>
          <c:spPr>
            <a:ln>
              <a:solidFill>
                <a:schemeClr val="accent6">
                  <a:lumMod val="75000"/>
                </a:schemeClr>
              </a:solidFill>
            </a:ln>
          </c:spPr>
          <c:marker>
            <c:symbol val="none"/>
          </c:marker>
          <c:val>
            <c:numRef>
              <c:f>'Comparision successful Networks'!$O$21:$O$26</c:f>
              <c:numCache>
                <c:formatCode>#,##0.00</c:formatCode>
                <c:ptCount val="6"/>
                <c:pt idx="0">
                  <c:v>2.6787965261703416E-2</c:v>
                </c:pt>
                <c:pt idx="1">
                  <c:v>3.8454597338960603E-2</c:v>
                </c:pt>
                <c:pt idx="2">
                  <c:v>3.8454597338960603E-2</c:v>
                </c:pt>
                <c:pt idx="3">
                  <c:v>3.8454597338960603E-2</c:v>
                </c:pt>
                <c:pt idx="4">
                  <c:v>3.8454597338960603E-2</c:v>
                </c:pt>
                <c:pt idx="5">
                  <c:v>3.8454597338960603E-2</c:v>
                </c:pt>
              </c:numCache>
            </c:numRef>
          </c:val>
          <c:smooth val="0"/>
        </c:ser>
        <c:dLbls>
          <c:showLegendKey val="0"/>
          <c:showVal val="0"/>
          <c:showCatName val="0"/>
          <c:showSerName val="0"/>
          <c:showPercent val="0"/>
          <c:showBubbleSize val="0"/>
        </c:dLbls>
        <c:marker val="1"/>
        <c:smooth val="0"/>
        <c:axId val="141022208"/>
        <c:axId val="173686784"/>
      </c:lineChart>
      <c:catAx>
        <c:axId val="141022208"/>
        <c:scaling>
          <c:orientation val="minMax"/>
        </c:scaling>
        <c:delete val="0"/>
        <c:axPos val="b"/>
        <c:numFmt formatCode="General" sourceLinked="1"/>
        <c:majorTickMark val="out"/>
        <c:minorTickMark val="none"/>
        <c:tickLblPos val="nextTo"/>
        <c:crossAx val="173686784"/>
        <c:crosses val="autoZero"/>
        <c:auto val="1"/>
        <c:lblAlgn val="ctr"/>
        <c:lblOffset val="100"/>
        <c:noMultiLvlLbl val="0"/>
      </c:catAx>
      <c:valAx>
        <c:axId val="173686784"/>
        <c:scaling>
          <c:orientation val="minMax"/>
        </c:scaling>
        <c:delete val="0"/>
        <c:axPos val="l"/>
        <c:majorGridlines/>
        <c:numFmt formatCode="General" sourceLinked="1"/>
        <c:majorTickMark val="out"/>
        <c:minorTickMark val="none"/>
        <c:tickLblPos val="nextTo"/>
        <c:crossAx val="141022208"/>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User</c:v>
          </c:tx>
          <c:spPr>
            <a:solidFill>
              <a:schemeClr val="tx2">
                <a:lumMod val="60000"/>
                <a:lumOff val="40000"/>
              </a:schemeClr>
            </a:solidFill>
          </c:spPr>
          <c:invertIfNegative val="0"/>
          <c:cat>
            <c:strRef>
              <c:f>'Worst Case'!$B$260:$I$260</c:f>
              <c:strCache>
                <c:ptCount val="8"/>
                <c:pt idx="0">
                  <c:v>Q1 2020</c:v>
                </c:pt>
                <c:pt idx="1">
                  <c:v>Q2 2020</c:v>
                </c:pt>
                <c:pt idx="2">
                  <c:v>Q3 2020</c:v>
                </c:pt>
                <c:pt idx="3">
                  <c:v>Q4 2020</c:v>
                </c:pt>
                <c:pt idx="4">
                  <c:v>Q1 2021</c:v>
                </c:pt>
                <c:pt idx="5">
                  <c:v>Q2 2021</c:v>
                </c:pt>
                <c:pt idx="6">
                  <c:v>Q3 2021</c:v>
                </c:pt>
                <c:pt idx="7">
                  <c:v>Q4 2021</c:v>
                </c:pt>
              </c:strCache>
            </c:strRef>
          </c:cat>
          <c:val>
            <c:numRef>
              <c:f>('Worst Case'!$F$18:$I$18,'Worst Case'!$K$18:$N$18)</c:f>
              <c:numCache>
                <c:formatCode>#,##0</c:formatCode>
                <c:ptCount val="8"/>
                <c:pt idx="0">
                  <c:v>2020.8646691464999</c:v>
                </c:pt>
                <c:pt idx="1">
                  <c:v>4833.8336170497632</c:v>
                </c:pt>
                <c:pt idx="2">
                  <c:v>8483.70063860954</c:v>
                </c:pt>
                <c:pt idx="3">
                  <c:v>10865.521167239924</c:v>
                </c:pt>
                <c:pt idx="4">
                  <c:v>13367.396546158145</c:v>
                </c:pt>
                <c:pt idx="5">
                  <c:v>15527.701315460177</c:v>
                </c:pt>
                <c:pt idx="6">
                  <c:v>17541.582885207928</c:v>
                </c:pt>
                <c:pt idx="7">
                  <c:v>19524.335023017342</c:v>
                </c:pt>
              </c:numCache>
            </c:numRef>
          </c:val>
        </c:ser>
        <c:ser>
          <c:idx val="1"/>
          <c:order val="1"/>
          <c:tx>
            <c:v>Income</c:v>
          </c:tx>
          <c:spPr>
            <a:solidFill>
              <a:srgbClr val="6DC71B"/>
            </a:solidFill>
          </c:spPr>
          <c:invertIfNegative val="0"/>
          <c:cat>
            <c:strRef>
              <c:f>'Worst Case'!$B$260:$I$260</c:f>
              <c:strCache>
                <c:ptCount val="8"/>
                <c:pt idx="0">
                  <c:v>Q1 2020</c:v>
                </c:pt>
                <c:pt idx="1">
                  <c:v>Q2 2020</c:v>
                </c:pt>
                <c:pt idx="2">
                  <c:v>Q3 2020</c:v>
                </c:pt>
                <c:pt idx="3">
                  <c:v>Q4 2020</c:v>
                </c:pt>
                <c:pt idx="4">
                  <c:v>Q1 2021</c:v>
                </c:pt>
                <c:pt idx="5">
                  <c:v>Q2 2021</c:v>
                </c:pt>
                <c:pt idx="6">
                  <c:v>Q3 2021</c:v>
                </c:pt>
                <c:pt idx="7">
                  <c:v>Q4 2021</c:v>
                </c:pt>
              </c:strCache>
            </c:strRef>
          </c:cat>
          <c:val>
            <c:numRef>
              <c:f>('Worst Case'!$F$30:$I$30,'Worst Case'!$K$30:$N$30)</c:f>
              <c:numCache>
                <c:formatCode>#,##0\ "€"</c:formatCode>
                <c:ptCount val="8"/>
                <c:pt idx="0">
                  <c:v>0</c:v>
                </c:pt>
                <c:pt idx="1">
                  <c:v>0</c:v>
                </c:pt>
                <c:pt idx="2">
                  <c:v>4447.1566288157755</c:v>
                </c:pt>
                <c:pt idx="3">
                  <c:v>13727.841583440595</c:v>
                </c:pt>
                <c:pt idx="4">
                  <c:v>20844.3974776016</c:v>
                </c:pt>
                <c:pt idx="5">
                  <c:v>29039.180863516114</c:v>
                </c:pt>
                <c:pt idx="6">
                  <c:v>38131.422925058185</c:v>
                </c:pt>
                <c:pt idx="7">
                  <c:v>48291.089526088908</c:v>
                </c:pt>
              </c:numCache>
            </c:numRef>
          </c:val>
        </c:ser>
        <c:ser>
          <c:idx val="2"/>
          <c:order val="2"/>
          <c:tx>
            <c:v>Expenses</c:v>
          </c:tx>
          <c:spPr>
            <a:solidFill>
              <a:srgbClr val="FF0000"/>
            </a:solidFill>
          </c:spPr>
          <c:invertIfNegative val="0"/>
          <c:cat>
            <c:strRef>
              <c:f>'Worst Case'!$B$260:$I$260</c:f>
              <c:strCache>
                <c:ptCount val="8"/>
                <c:pt idx="0">
                  <c:v>Q1 2020</c:v>
                </c:pt>
                <c:pt idx="1">
                  <c:v>Q2 2020</c:v>
                </c:pt>
                <c:pt idx="2">
                  <c:v>Q3 2020</c:v>
                </c:pt>
                <c:pt idx="3">
                  <c:v>Q4 2020</c:v>
                </c:pt>
                <c:pt idx="4">
                  <c:v>Q1 2021</c:v>
                </c:pt>
                <c:pt idx="5">
                  <c:v>Q2 2021</c:v>
                </c:pt>
                <c:pt idx="6">
                  <c:v>Q3 2021</c:v>
                </c:pt>
                <c:pt idx="7">
                  <c:v>Q4 2021</c:v>
                </c:pt>
              </c:strCache>
            </c:strRef>
          </c:cat>
          <c:val>
            <c:numRef>
              <c:f>('Worst Case'!$F$47:$I$47,'Worst Case'!$K$47:$N$47)</c:f>
              <c:numCache>
                <c:formatCode>#,##0\ "€"</c:formatCode>
                <c:ptCount val="8"/>
                <c:pt idx="0">
                  <c:v>118887.62594007439</c:v>
                </c:pt>
                <c:pt idx="1">
                  <c:v>115969.01500851149</c:v>
                </c:pt>
                <c:pt idx="2">
                  <c:v>31759.658007803017</c:v>
                </c:pt>
                <c:pt idx="3">
                  <c:v>33674.370558020455</c:v>
                </c:pt>
                <c:pt idx="4">
                  <c:v>51728.491618498578</c:v>
                </c:pt>
                <c:pt idx="5">
                  <c:v>54496.655136013651</c:v>
                </c:pt>
                <c:pt idx="6">
                  <c:v>57606.11132726878</c:v>
                </c:pt>
                <c:pt idx="7">
                  <c:v>61052.775913375102</c:v>
                </c:pt>
              </c:numCache>
            </c:numRef>
          </c:val>
        </c:ser>
        <c:ser>
          <c:idx val="3"/>
          <c:order val="3"/>
          <c:tx>
            <c:v>Result</c:v>
          </c:tx>
          <c:spPr>
            <a:solidFill>
              <a:srgbClr val="FFC000"/>
            </a:solidFill>
          </c:spPr>
          <c:invertIfNegative val="0"/>
          <c:cat>
            <c:strRef>
              <c:f>'Worst Case'!$B$260:$I$260</c:f>
              <c:strCache>
                <c:ptCount val="8"/>
                <c:pt idx="0">
                  <c:v>Q1 2020</c:v>
                </c:pt>
                <c:pt idx="1">
                  <c:v>Q2 2020</c:v>
                </c:pt>
                <c:pt idx="2">
                  <c:v>Q3 2020</c:v>
                </c:pt>
                <c:pt idx="3">
                  <c:v>Q4 2020</c:v>
                </c:pt>
                <c:pt idx="4">
                  <c:v>Q1 2021</c:v>
                </c:pt>
                <c:pt idx="5">
                  <c:v>Q2 2021</c:v>
                </c:pt>
                <c:pt idx="6">
                  <c:v>Q3 2021</c:v>
                </c:pt>
                <c:pt idx="7">
                  <c:v>Q4 2021</c:v>
                </c:pt>
              </c:strCache>
            </c:strRef>
          </c:cat>
          <c:val>
            <c:numRef>
              <c:f>('Worst Case'!$F$49:$I$49,'Worst Case'!$K$49:$N$49)</c:f>
              <c:numCache>
                <c:formatCode>#,##0\ "€"</c:formatCode>
                <c:ptCount val="8"/>
                <c:pt idx="0">
                  <c:v>-118887.62594007439</c:v>
                </c:pt>
                <c:pt idx="1">
                  <c:v>-115969.01500851149</c:v>
                </c:pt>
                <c:pt idx="2">
                  <c:v>-27312.501378987239</c:v>
                </c:pt>
                <c:pt idx="3">
                  <c:v>-19946.528974579858</c:v>
                </c:pt>
                <c:pt idx="4">
                  <c:v>-30884.094140896977</c:v>
                </c:pt>
                <c:pt idx="5">
                  <c:v>-25457.474272497537</c:v>
                </c:pt>
                <c:pt idx="6">
                  <c:v>-19474.688402210595</c:v>
                </c:pt>
                <c:pt idx="7">
                  <c:v>-12761.686387286194</c:v>
                </c:pt>
              </c:numCache>
            </c:numRef>
          </c:val>
        </c:ser>
        <c:dLbls>
          <c:showLegendKey val="0"/>
          <c:showVal val="0"/>
          <c:showCatName val="0"/>
          <c:showSerName val="0"/>
          <c:showPercent val="0"/>
          <c:showBubbleSize val="0"/>
        </c:dLbls>
        <c:gapWidth val="150"/>
        <c:axId val="166545408"/>
        <c:axId val="173690240"/>
      </c:barChart>
      <c:catAx>
        <c:axId val="166545408"/>
        <c:scaling>
          <c:orientation val="minMax"/>
        </c:scaling>
        <c:delete val="0"/>
        <c:axPos val="b"/>
        <c:majorTickMark val="out"/>
        <c:minorTickMark val="none"/>
        <c:tickLblPos val="nextTo"/>
        <c:crossAx val="173690240"/>
        <c:crosses val="autoZero"/>
        <c:auto val="1"/>
        <c:lblAlgn val="ctr"/>
        <c:lblOffset val="100"/>
        <c:noMultiLvlLbl val="0"/>
      </c:catAx>
      <c:valAx>
        <c:axId val="173690240"/>
        <c:scaling>
          <c:orientation val="minMax"/>
        </c:scaling>
        <c:delete val="0"/>
        <c:axPos val="l"/>
        <c:majorGridlines/>
        <c:numFmt formatCode="#,##0" sourceLinked="1"/>
        <c:majorTickMark val="out"/>
        <c:minorTickMark val="none"/>
        <c:tickLblPos val="nextTo"/>
        <c:crossAx val="166545408"/>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User</c:v>
          </c:tx>
          <c:spPr>
            <a:solidFill>
              <a:schemeClr val="tx2">
                <a:lumMod val="60000"/>
                <a:lumOff val="40000"/>
              </a:schemeClr>
            </a:solidFill>
          </c:spPr>
          <c:invertIfNegative val="0"/>
          <c:cat>
            <c:strRef>
              <c:f>'Worst Case'!$J$260:$P$260</c:f>
              <c:strCache>
                <c:ptCount val="7"/>
                <c:pt idx="0">
                  <c:v>Q1 2022</c:v>
                </c:pt>
                <c:pt idx="1">
                  <c:v>Q2 2022</c:v>
                </c:pt>
                <c:pt idx="2">
                  <c:v>Q3 2022</c:v>
                </c:pt>
                <c:pt idx="3">
                  <c:v>Q4 2022</c:v>
                </c:pt>
                <c:pt idx="4">
                  <c:v>2023</c:v>
                </c:pt>
                <c:pt idx="5">
                  <c:v>2024</c:v>
                </c:pt>
                <c:pt idx="6">
                  <c:v>2025</c:v>
                </c:pt>
              </c:strCache>
            </c:strRef>
          </c:cat>
          <c:val>
            <c:numRef>
              <c:f>('Worst Case'!$P$18:$S$18,'Worst Case'!$V$18:$X$18)</c:f>
              <c:numCache>
                <c:formatCode>#,##0</c:formatCode>
                <c:ptCount val="7"/>
                <c:pt idx="0">
                  <c:v>21751.840816517106</c:v>
                </c:pt>
                <c:pt idx="1">
                  <c:v>24237.375087590401</c:v>
                </c:pt>
                <c:pt idx="2">
                  <c:v>27003.272753055007</c:v>
                </c:pt>
                <c:pt idx="3">
                  <c:v>30078.977575977202</c:v>
                </c:pt>
                <c:pt idx="4">
                  <c:v>91586.845292634724</c:v>
                </c:pt>
                <c:pt idx="5">
                  <c:v>148111.68729115033</c:v>
                </c:pt>
                <c:pt idx="6">
                  <c:v>195233.51423873584</c:v>
                </c:pt>
              </c:numCache>
            </c:numRef>
          </c:val>
        </c:ser>
        <c:ser>
          <c:idx val="1"/>
          <c:order val="1"/>
          <c:tx>
            <c:v>Income</c:v>
          </c:tx>
          <c:spPr>
            <a:solidFill>
              <a:srgbClr val="6DC71B"/>
            </a:solidFill>
          </c:spPr>
          <c:invertIfNegative val="0"/>
          <c:cat>
            <c:strRef>
              <c:f>'Worst Case'!$J$260:$P$260</c:f>
              <c:strCache>
                <c:ptCount val="7"/>
                <c:pt idx="0">
                  <c:v>Q1 2022</c:v>
                </c:pt>
                <c:pt idx="1">
                  <c:v>Q2 2022</c:v>
                </c:pt>
                <c:pt idx="2">
                  <c:v>Q3 2022</c:v>
                </c:pt>
                <c:pt idx="3">
                  <c:v>Q4 2022</c:v>
                </c:pt>
                <c:pt idx="4">
                  <c:v>2023</c:v>
                </c:pt>
                <c:pt idx="5">
                  <c:v>2024</c:v>
                </c:pt>
                <c:pt idx="6">
                  <c:v>2025</c:v>
                </c:pt>
              </c:strCache>
            </c:strRef>
          </c:cat>
          <c:val>
            <c:numRef>
              <c:f>('Worst Case'!$P$30:$S$30,'Worst Case'!$V$30:$X$30)</c:f>
              <c:numCache>
                <c:formatCode>#,##0\ "€"</c:formatCode>
                <c:ptCount val="7"/>
                <c:pt idx="0">
                  <c:v>60102.954782413537</c:v>
                </c:pt>
                <c:pt idx="1">
                  <c:v>74003.043919759846</c:v>
                </c:pt>
                <c:pt idx="2">
                  <c:v>90286.656655354644</c:v>
                </c:pt>
                <c:pt idx="3">
                  <c:v>109301.18009264905</c:v>
                </c:pt>
                <c:pt idx="4">
                  <c:v>1058492.6589569238</c:v>
                </c:pt>
                <c:pt idx="5">
                  <c:v>2373015.4725794727</c:v>
                </c:pt>
                <c:pt idx="6">
                  <c:v>3811131.7369817365</c:v>
                </c:pt>
              </c:numCache>
            </c:numRef>
          </c:val>
        </c:ser>
        <c:ser>
          <c:idx val="2"/>
          <c:order val="2"/>
          <c:tx>
            <c:v>Expenses</c:v>
          </c:tx>
          <c:spPr>
            <a:solidFill>
              <a:srgbClr val="FF0000"/>
            </a:solidFill>
          </c:spPr>
          <c:invertIfNegative val="0"/>
          <c:cat>
            <c:strRef>
              <c:f>'Worst Case'!$J$260:$P$260</c:f>
              <c:strCache>
                <c:ptCount val="7"/>
                <c:pt idx="0">
                  <c:v>Q1 2022</c:v>
                </c:pt>
                <c:pt idx="1">
                  <c:v>Q2 2022</c:v>
                </c:pt>
                <c:pt idx="2">
                  <c:v>Q3 2022</c:v>
                </c:pt>
                <c:pt idx="3">
                  <c:v>Q4 2022</c:v>
                </c:pt>
                <c:pt idx="4">
                  <c:v>2023</c:v>
                </c:pt>
                <c:pt idx="5">
                  <c:v>2024</c:v>
                </c:pt>
                <c:pt idx="6">
                  <c:v>2025</c:v>
                </c:pt>
              </c:strCache>
            </c:strRef>
          </c:cat>
          <c:val>
            <c:numRef>
              <c:f>('Worst Case'!$P$47:$S$47,'Worst Case'!$V$47:$X$47)</c:f>
              <c:numCache>
                <c:formatCode>#,##0\ "€"</c:formatCode>
                <c:ptCount val="7"/>
                <c:pt idx="0">
                  <c:v>71151.713358515437</c:v>
                </c:pt>
                <c:pt idx="1">
                  <c:v>84997.761967929837</c:v>
                </c:pt>
                <c:pt idx="2">
                  <c:v>105813.53148651216</c:v>
                </c:pt>
                <c:pt idx="3">
                  <c:v>127531.68475280351</c:v>
                </c:pt>
                <c:pt idx="4">
                  <c:v>846840.67153514444</c:v>
                </c:pt>
                <c:pt idx="5">
                  <c:v>1353518.2569571973</c:v>
                </c:pt>
                <c:pt idx="6">
                  <c:v>2063234.2917070407</c:v>
                </c:pt>
              </c:numCache>
            </c:numRef>
          </c:val>
        </c:ser>
        <c:ser>
          <c:idx val="3"/>
          <c:order val="3"/>
          <c:tx>
            <c:v>Result</c:v>
          </c:tx>
          <c:spPr>
            <a:solidFill>
              <a:srgbClr val="FFC000"/>
            </a:solidFill>
          </c:spPr>
          <c:invertIfNegative val="0"/>
          <c:cat>
            <c:strRef>
              <c:f>'Worst Case'!$J$260:$P$260</c:f>
              <c:strCache>
                <c:ptCount val="7"/>
                <c:pt idx="0">
                  <c:v>Q1 2022</c:v>
                </c:pt>
                <c:pt idx="1">
                  <c:v>Q2 2022</c:v>
                </c:pt>
                <c:pt idx="2">
                  <c:v>Q3 2022</c:v>
                </c:pt>
                <c:pt idx="3">
                  <c:v>Q4 2022</c:v>
                </c:pt>
                <c:pt idx="4">
                  <c:v>2023</c:v>
                </c:pt>
                <c:pt idx="5">
                  <c:v>2024</c:v>
                </c:pt>
                <c:pt idx="6">
                  <c:v>2025</c:v>
                </c:pt>
              </c:strCache>
            </c:strRef>
          </c:cat>
          <c:val>
            <c:numRef>
              <c:f>('Worst Case'!$P$49:$S$49,'Worst Case'!$V$49:$X$49)</c:f>
              <c:numCache>
                <c:formatCode>#,##0\ "€"</c:formatCode>
                <c:ptCount val="7"/>
                <c:pt idx="0">
                  <c:v>-11048.7585761019</c:v>
                </c:pt>
                <c:pt idx="1">
                  <c:v>-10994.718048169991</c:v>
                </c:pt>
                <c:pt idx="2">
                  <c:v>-15526.874831157518</c:v>
                </c:pt>
                <c:pt idx="3">
                  <c:v>-18230.50466015446</c:v>
                </c:pt>
                <c:pt idx="4">
                  <c:v>211651.98742177931</c:v>
                </c:pt>
                <c:pt idx="5">
                  <c:v>1019497.2156222754</c:v>
                </c:pt>
                <c:pt idx="6">
                  <c:v>1747897.4452746958</c:v>
                </c:pt>
              </c:numCache>
            </c:numRef>
          </c:val>
        </c:ser>
        <c:dLbls>
          <c:showLegendKey val="0"/>
          <c:showVal val="0"/>
          <c:showCatName val="0"/>
          <c:showSerName val="0"/>
          <c:showPercent val="0"/>
          <c:showBubbleSize val="0"/>
        </c:dLbls>
        <c:gapWidth val="150"/>
        <c:axId val="167752192"/>
        <c:axId val="173692544"/>
      </c:barChart>
      <c:catAx>
        <c:axId val="167752192"/>
        <c:scaling>
          <c:orientation val="minMax"/>
        </c:scaling>
        <c:delete val="0"/>
        <c:axPos val="b"/>
        <c:majorTickMark val="out"/>
        <c:minorTickMark val="none"/>
        <c:tickLblPos val="nextTo"/>
        <c:crossAx val="173692544"/>
        <c:crosses val="autoZero"/>
        <c:auto val="1"/>
        <c:lblAlgn val="ctr"/>
        <c:lblOffset val="100"/>
        <c:noMultiLvlLbl val="0"/>
      </c:catAx>
      <c:valAx>
        <c:axId val="173692544"/>
        <c:scaling>
          <c:orientation val="minMax"/>
        </c:scaling>
        <c:delete val="0"/>
        <c:axPos val="l"/>
        <c:majorGridlines/>
        <c:numFmt formatCode="#,##0" sourceLinked="1"/>
        <c:majorTickMark val="out"/>
        <c:minorTickMark val="none"/>
        <c:tickLblPos val="nextTo"/>
        <c:crossAx val="167752192"/>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Networks'!$C$4:$C$20</c:f>
              <c:numCache>
                <c:formatCode>General</c:formatCode>
                <c:ptCount val="17"/>
                <c:pt idx="0">
                  <c:v>0</c:v>
                </c:pt>
                <c:pt idx="1">
                  <c:v>1</c:v>
                </c:pt>
                <c:pt idx="2">
                  <c:v>6</c:v>
                </c:pt>
                <c:pt idx="3">
                  <c:v>12</c:v>
                </c:pt>
                <c:pt idx="4">
                  <c:v>58</c:v>
                </c:pt>
                <c:pt idx="5">
                  <c:v>145</c:v>
                </c:pt>
                <c:pt idx="6">
                  <c:v>360</c:v>
                </c:pt>
                <c:pt idx="7">
                  <c:v>608</c:v>
                </c:pt>
                <c:pt idx="8">
                  <c:v>845</c:v>
                </c:pt>
                <c:pt idx="9">
                  <c:v>1056</c:v>
                </c:pt>
                <c:pt idx="10">
                  <c:v>1230</c:v>
                </c:pt>
                <c:pt idx="11">
                  <c:v>1393</c:v>
                </c:pt>
                <c:pt idx="12">
                  <c:v>1591</c:v>
                </c:pt>
                <c:pt idx="13">
                  <c:v>1860</c:v>
                </c:pt>
                <c:pt idx="14">
                  <c:v>2072</c:v>
                </c:pt>
                <c:pt idx="15">
                  <c:v>2250</c:v>
                </c:pt>
                <c:pt idx="16">
                  <c:v>2450</c:v>
                </c:pt>
              </c:numCache>
            </c:numRef>
          </c:val>
          <c:smooth val="0"/>
        </c:ser>
        <c:ser>
          <c:idx val="1"/>
          <c:order val="1"/>
          <c:tx>
            <c:v>WhatsApp</c:v>
          </c:tx>
          <c:spPr>
            <a:ln>
              <a:solidFill>
                <a:srgbClr val="7030A0"/>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Networks'!$E$4:$E$18</c:f>
              <c:numCache>
                <c:formatCode>General</c:formatCode>
                <c:ptCount val="15"/>
                <c:pt idx="0">
                  <c:v>0</c:v>
                </c:pt>
                <c:pt idx="1">
                  <c:v>0</c:v>
                </c:pt>
                <c:pt idx="2">
                  <c:v>0</c:v>
                </c:pt>
                <c:pt idx="3">
                  <c:v>0</c:v>
                </c:pt>
                <c:pt idx="4">
                  <c:v>0</c:v>
                </c:pt>
                <c:pt idx="5">
                  <c:v>0.01</c:v>
                </c:pt>
                <c:pt idx="6">
                  <c:v>0.25</c:v>
                </c:pt>
                <c:pt idx="7">
                  <c:v>5</c:v>
                </c:pt>
                <c:pt idx="8">
                  <c:v>35</c:v>
                </c:pt>
                <c:pt idx="9">
                  <c:v>150</c:v>
                </c:pt>
                <c:pt idx="10">
                  <c:v>400</c:v>
                </c:pt>
                <c:pt idx="11">
                  <c:v>600</c:v>
                </c:pt>
                <c:pt idx="12">
                  <c:v>900</c:v>
                </c:pt>
                <c:pt idx="13">
                  <c:v>1000</c:v>
                </c:pt>
                <c:pt idx="14">
                  <c:v>1500</c:v>
                </c:pt>
              </c:numCache>
            </c:numRef>
          </c:val>
          <c:smooth val="0"/>
        </c:ser>
        <c:ser>
          <c:idx val="2"/>
          <c:order val="2"/>
          <c:tx>
            <c:v>WeChat</c:v>
          </c:tx>
          <c:spPr>
            <a:ln>
              <a:solidFill>
                <a:srgbClr val="FF0000"/>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Networks'!$G$4:$G$20</c:f>
              <c:numCache>
                <c:formatCode>General</c:formatCode>
                <c:ptCount val="17"/>
                <c:pt idx="0">
                  <c:v>0</c:v>
                </c:pt>
                <c:pt idx="1">
                  <c:v>0</c:v>
                </c:pt>
                <c:pt idx="2">
                  <c:v>0</c:v>
                </c:pt>
                <c:pt idx="3">
                  <c:v>0</c:v>
                </c:pt>
                <c:pt idx="4">
                  <c:v>0</c:v>
                </c:pt>
                <c:pt idx="5">
                  <c:v>0</c:v>
                </c:pt>
                <c:pt idx="6">
                  <c:v>0</c:v>
                </c:pt>
                <c:pt idx="7">
                  <c:v>0</c:v>
                </c:pt>
                <c:pt idx="8">
                  <c:v>50</c:v>
                </c:pt>
                <c:pt idx="9">
                  <c:v>160</c:v>
                </c:pt>
                <c:pt idx="10">
                  <c:v>355</c:v>
                </c:pt>
                <c:pt idx="11">
                  <c:v>500</c:v>
                </c:pt>
                <c:pt idx="12">
                  <c:v>697</c:v>
                </c:pt>
                <c:pt idx="13">
                  <c:v>889</c:v>
                </c:pt>
                <c:pt idx="14">
                  <c:v>980</c:v>
                </c:pt>
                <c:pt idx="15">
                  <c:v>1100</c:v>
                </c:pt>
                <c:pt idx="16">
                  <c:v>1160</c:v>
                </c:pt>
              </c:numCache>
            </c:numRef>
          </c:val>
          <c:smooth val="0"/>
        </c:ser>
        <c:ser>
          <c:idx val="3"/>
          <c:order val="3"/>
          <c:tx>
            <c:v>Instagram</c:v>
          </c:tx>
          <c:spPr>
            <a:ln>
              <a:solidFill>
                <a:srgbClr val="FFC000"/>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Networks'!$I$4:$I$19</c:f>
              <c:numCache>
                <c:formatCode>General</c:formatCode>
                <c:ptCount val="16"/>
                <c:pt idx="0">
                  <c:v>0</c:v>
                </c:pt>
                <c:pt idx="1">
                  <c:v>0</c:v>
                </c:pt>
                <c:pt idx="2">
                  <c:v>0</c:v>
                </c:pt>
                <c:pt idx="3">
                  <c:v>0</c:v>
                </c:pt>
                <c:pt idx="4">
                  <c:v>0</c:v>
                </c:pt>
                <c:pt idx="5">
                  <c:v>0</c:v>
                </c:pt>
                <c:pt idx="6">
                  <c:v>0</c:v>
                </c:pt>
                <c:pt idx="7">
                  <c:v>1</c:v>
                </c:pt>
                <c:pt idx="8">
                  <c:v>10</c:v>
                </c:pt>
                <c:pt idx="9">
                  <c:v>80</c:v>
                </c:pt>
                <c:pt idx="10">
                  <c:v>150</c:v>
                </c:pt>
                <c:pt idx="11">
                  <c:v>300</c:v>
                </c:pt>
                <c:pt idx="12">
                  <c:v>400</c:v>
                </c:pt>
                <c:pt idx="13">
                  <c:v>600</c:v>
                </c:pt>
                <c:pt idx="14">
                  <c:v>800</c:v>
                </c:pt>
                <c:pt idx="15">
                  <c:v>1000</c:v>
                </c:pt>
              </c:numCache>
            </c:numRef>
          </c:val>
          <c:smooth val="0"/>
        </c:ser>
        <c:ser>
          <c:idx val="4"/>
          <c:order val="4"/>
          <c:tx>
            <c:v>LinkedIn</c:v>
          </c:tx>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Networks'!$M$4:$M$17</c:f>
              <c:numCache>
                <c:formatCode>General</c:formatCode>
                <c:ptCount val="14"/>
                <c:pt idx="0">
                  <c:v>0</c:v>
                </c:pt>
                <c:pt idx="1">
                  <c:v>0</c:v>
                </c:pt>
                <c:pt idx="2">
                  <c:v>0</c:v>
                </c:pt>
                <c:pt idx="3">
                  <c:v>1.6E-2</c:v>
                </c:pt>
                <c:pt idx="4">
                  <c:v>0.70199999999999996</c:v>
                </c:pt>
                <c:pt idx="5">
                  <c:v>4</c:v>
                </c:pt>
                <c:pt idx="6">
                  <c:v>18</c:v>
                </c:pt>
                <c:pt idx="7">
                  <c:v>54</c:v>
                </c:pt>
                <c:pt idx="8">
                  <c:v>117</c:v>
                </c:pt>
                <c:pt idx="9">
                  <c:v>185</c:v>
                </c:pt>
                <c:pt idx="10">
                  <c:v>241</c:v>
                </c:pt>
                <c:pt idx="11">
                  <c:v>288</c:v>
                </c:pt>
                <c:pt idx="12">
                  <c:v>305</c:v>
                </c:pt>
                <c:pt idx="13">
                  <c:v>319</c:v>
                </c:pt>
              </c:numCache>
            </c:numRef>
          </c:val>
          <c:smooth val="0"/>
        </c:ser>
        <c:ser>
          <c:idx val="6"/>
          <c:order val="6"/>
          <c:tx>
            <c:v>connect (Realistic)</c:v>
          </c:tx>
          <c:spPr>
            <a:ln>
              <a:solidFill>
                <a:srgbClr val="6DC71B"/>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Networks'!$Q$4:$Q$26</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formatCode="#,##0.00">
                  <c:v>5.5007231534220366E-2</c:v>
                </c:pt>
                <c:pt idx="18" formatCode="#,##0.00">
                  <c:v>0.26211723812496734</c:v>
                </c:pt>
                <c:pt idx="19" formatCode="#,##0.00">
                  <c:v>2.0163530394777931</c:v>
                </c:pt>
                <c:pt idx="20" formatCode="#,##0.00">
                  <c:v>5.8912056794336474</c:v>
                </c:pt>
                <c:pt idx="21" formatCode="#,##0.00">
                  <c:v>14.010941670429698</c:v>
                </c:pt>
                <c:pt idx="22" formatCode="#,##0.00">
                  <c:v>25.294677306404136</c:v>
                </c:pt>
              </c:numCache>
            </c:numRef>
          </c:val>
          <c:smooth val="0"/>
        </c:ser>
        <c:ser>
          <c:idx val="7"/>
          <c:order val="7"/>
          <c:tx>
            <c:v>connect (You)</c:v>
          </c:tx>
          <c:spPr>
            <a:ln>
              <a:solidFill>
                <a:schemeClr val="accent6">
                  <a:lumMod val="75000"/>
                </a:schemeClr>
              </a:solidFill>
            </a:ln>
          </c:spPr>
          <c:marker>
            <c:symbol val="none"/>
          </c:marker>
          <c:val>
            <c:numRef>
              <c:f>'Comparision successful Networks'!$O$4:$O$26</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formatCode="#,##0.00">
                  <c:v>2.6787965261703416E-2</c:v>
                </c:pt>
                <c:pt idx="18" formatCode="#,##0.00">
                  <c:v>3.8454597338960603E-2</c:v>
                </c:pt>
                <c:pt idx="19" formatCode="#,##0.00">
                  <c:v>3.8454597338960603E-2</c:v>
                </c:pt>
                <c:pt idx="20" formatCode="#,##0.00">
                  <c:v>3.8454597338960603E-2</c:v>
                </c:pt>
                <c:pt idx="21" formatCode="#,##0.00">
                  <c:v>3.8454597338960603E-2</c:v>
                </c:pt>
                <c:pt idx="22" formatCode="#,##0.00">
                  <c:v>3.8454597338960603E-2</c:v>
                </c:pt>
              </c:numCache>
            </c:numRef>
          </c:val>
          <c:smooth val="0"/>
        </c:ser>
        <c:dLbls>
          <c:showLegendKey val="0"/>
          <c:showVal val="0"/>
          <c:showCatName val="0"/>
          <c:showSerName val="0"/>
          <c:showPercent val="0"/>
          <c:showBubbleSize val="0"/>
        </c:dLbls>
        <c:marker val="1"/>
        <c:smooth val="0"/>
        <c:axId val="101633536"/>
        <c:axId val="140375104"/>
      </c:lineChart>
      <c:catAx>
        <c:axId val="101633536"/>
        <c:scaling>
          <c:orientation val="minMax"/>
        </c:scaling>
        <c:delete val="0"/>
        <c:axPos val="b"/>
        <c:numFmt formatCode="@" sourceLinked="0"/>
        <c:majorTickMark val="out"/>
        <c:minorTickMark val="none"/>
        <c:tickLblPos val="nextTo"/>
        <c:crossAx val="140375104"/>
        <c:crosses val="autoZero"/>
        <c:auto val="1"/>
        <c:lblAlgn val="ctr"/>
        <c:lblOffset val="100"/>
        <c:noMultiLvlLbl val="0"/>
      </c:catAx>
      <c:valAx>
        <c:axId val="140375104"/>
        <c:scaling>
          <c:orientation val="minMax"/>
        </c:scaling>
        <c:delete val="0"/>
        <c:axPos val="l"/>
        <c:majorGridlines/>
        <c:numFmt formatCode="General" sourceLinked="1"/>
        <c:majorTickMark val="out"/>
        <c:minorTickMark val="none"/>
        <c:tickLblPos val="nextTo"/>
        <c:crossAx val="101633536"/>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Networks'!$C$4:$C$20</c:f>
              <c:numCache>
                <c:formatCode>General</c:formatCode>
                <c:ptCount val="17"/>
                <c:pt idx="0">
                  <c:v>0</c:v>
                </c:pt>
                <c:pt idx="1">
                  <c:v>1</c:v>
                </c:pt>
                <c:pt idx="2">
                  <c:v>6</c:v>
                </c:pt>
                <c:pt idx="3">
                  <c:v>12</c:v>
                </c:pt>
                <c:pt idx="4">
                  <c:v>58</c:v>
                </c:pt>
                <c:pt idx="5">
                  <c:v>145</c:v>
                </c:pt>
                <c:pt idx="6">
                  <c:v>360</c:v>
                </c:pt>
                <c:pt idx="7">
                  <c:v>608</c:v>
                </c:pt>
                <c:pt idx="8">
                  <c:v>845</c:v>
                </c:pt>
                <c:pt idx="9">
                  <c:v>1056</c:v>
                </c:pt>
                <c:pt idx="10">
                  <c:v>1230</c:v>
                </c:pt>
                <c:pt idx="11">
                  <c:v>1393</c:v>
                </c:pt>
                <c:pt idx="12">
                  <c:v>1591</c:v>
                </c:pt>
                <c:pt idx="13">
                  <c:v>1860</c:v>
                </c:pt>
                <c:pt idx="14">
                  <c:v>2072</c:v>
                </c:pt>
                <c:pt idx="15">
                  <c:v>2250</c:v>
                </c:pt>
                <c:pt idx="16">
                  <c:v>2450</c:v>
                </c:pt>
              </c:numCache>
            </c:numRef>
          </c:val>
          <c:smooth val="0"/>
        </c:ser>
        <c:ser>
          <c:idx val="1"/>
          <c:order val="1"/>
          <c:tx>
            <c:v>WhatsApp</c:v>
          </c:tx>
          <c:spPr>
            <a:ln>
              <a:solidFill>
                <a:srgbClr val="7030A0"/>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Networks'!$E$4:$E$18</c:f>
              <c:numCache>
                <c:formatCode>General</c:formatCode>
                <c:ptCount val="15"/>
                <c:pt idx="0">
                  <c:v>0</c:v>
                </c:pt>
                <c:pt idx="1">
                  <c:v>0</c:v>
                </c:pt>
                <c:pt idx="2">
                  <c:v>0</c:v>
                </c:pt>
                <c:pt idx="3">
                  <c:v>0</c:v>
                </c:pt>
                <c:pt idx="4">
                  <c:v>0</c:v>
                </c:pt>
                <c:pt idx="5">
                  <c:v>0.01</c:v>
                </c:pt>
                <c:pt idx="6">
                  <c:v>0.25</c:v>
                </c:pt>
                <c:pt idx="7">
                  <c:v>5</c:v>
                </c:pt>
                <c:pt idx="8">
                  <c:v>35</c:v>
                </c:pt>
                <c:pt idx="9">
                  <c:v>150</c:v>
                </c:pt>
                <c:pt idx="10">
                  <c:v>400</c:v>
                </c:pt>
                <c:pt idx="11">
                  <c:v>600</c:v>
                </c:pt>
                <c:pt idx="12">
                  <c:v>900</c:v>
                </c:pt>
                <c:pt idx="13">
                  <c:v>1000</c:v>
                </c:pt>
                <c:pt idx="14">
                  <c:v>1500</c:v>
                </c:pt>
              </c:numCache>
            </c:numRef>
          </c:val>
          <c:smooth val="0"/>
        </c:ser>
        <c:ser>
          <c:idx val="2"/>
          <c:order val="2"/>
          <c:tx>
            <c:v>WeChat</c:v>
          </c:tx>
          <c:spPr>
            <a:ln>
              <a:solidFill>
                <a:srgbClr val="FF0000"/>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Networks'!$G$4:$G$20</c:f>
              <c:numCache>
                <c:formatCode>General</c:formatCode>
                <c:ptCount val="17"/>
                <c:pt idx="0">
                  <c:v>0</c:v>
                </c:pt>
                <c:pt idx="1">
                  <c:v>0</c:v>
                </c:pt>
                <c:pt idx="2">
                  <c:v>0</c:v>
                </c:pt>
                <c:pt idx="3">
                  <c:v>0</c:v>
                </c:pt>
                <c:pt idx="4">
                  <c:v>0</c:v>
                </c:pt>
                <c:pt idx="5">
                  <c:v>0</c:v>
                </c:pt>
                <c:pt idx="6">
                  <c:v>0</c:v>
                </c:pt>
                <c:pt idx="7">
                  <c:v>0</c:v>
                </c:pt>
                <c:pt idx="8">
                  <c:v>50</c:v>
                </c:pt>
                <c:pt idx="9">
                  <c:v>160</c:v>
                </c:pt>
                <c:pt idx="10">
                  <c:v>355</c:v>
                </c:pt>
                <c:pt idx="11">
                  <c:v>500</c:v>
                </c:pt>
                <c:pt idx="12">
                  <c:v>697</c:v>
                </c:pt>
                <c:pt idx="13">
                  <c:v>889</c:v>
                </c:pt>
                <c:pt idx="14">
                  <c:v>980</c:v>
                </c:pt>
                <c:pt idx="15">
                  <c:v>1100</c:v>
                </c:pt>
                <c:pt idx="16">
                  <c:v>1160</c:v>
                </c:pt>
              </c:numCache>
            </c:numRef>
          </c:val>
          <c:smooth val="0"/>
        </c:ser>
        <c:ser>
          <c:idx val="3"/>
          <c:order val="3"/>
          <c:tx>
            <c:v>Instagram</c:v>
          </c:tx>
          <c:spPr>
            <a:ln>
              <a:solidFill>
                <a:srgbClr val="FFC000"/>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Networks'!$I$4:$I$19</c:f>
              <c:numCache>
                <c:formatCode>General</c:formatCode>
                <c:ptCount val="16"/>
                <c:pt idx="0">
                  <c:v>0</c:v>
                </c:pt>
                <c:pt idx="1">
                  <c:v>0</c:v>
                </c:pt>
                <c:pt idx="2">
                  <c:v>0</c:v>
                </c:pt>
                <c:pt idx="3">
                  <c:v>0</c:v>
                </c:pt>
                <c:pt idx="4">
                  <c:v>0</c:v>
                </c:pt>
                <c:pt idx="5">
                  <c:v>0</c:v>
                </c:pt>
                <c:pt idx="6">
                  <c:v>0</c:v>
                </c:pt>
                <c:pt idx="7">
                  <c:v>1</c:v>
                </c:pt>
                <c:pt idx="8">
                  <c:v>10</c:v>
                </c:pt>
                <c:pt idx="9">
                  <c:v>80</c:v>
                </c:pt>
                <c:pt idx="10">
                  <c:v>150</c:v>
                </c:pt>
                <c:pt idx="11">
                  <c:v>300</c:v>
                </c:pt>
                <c:pt idx="12">
                  <c:v>400</c:v>
                </c:pt>
                <c:pt idx="13">
                  <c:v>600</c:v>
                </c:pt>
                <c:pt idx="14">
                  <c:v>800</c:v>
                </c:pt>
                <c:pt idx="15">
                  <c:v>1000</c:v>
                </c:pt>
              </c:numCache>
            </c:numRef>
          </c:val>
          <c:smooth val="0"/>
        </c:ser>
        <c:ser>
          <c:idx val="4"/>
          <c:order val="4"/>
          <c:tx>
            <c:v>LinkedIn</c:v>
          </c:tx>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Networks'!$M$4:$M$17</c:f>
              <c:numCache>
                <c:formatCode>General</c:formatCode>
                <c:ptCount val="14"/>
                <c:pt idx="0">
                  <c:v>0</c:v>
                </c:pt>
                <c:pt idx="1">
                  <c:v>0</c:v>
                </c:pt>
                <c:pt idx="2">
                  <c:v>0</c:v>
                </c:pt>
                <c:pt idx="3">
                  <c:v>1.6E-2</c:v>
                </c:pt>
                <c:pt idx="4">
                  <c:v>0.70199999999999996</c:v>
                </c:pt>
                <c:pt idx="5">
                  <c:v>4</c:v>
                </c:pt>
                <c:pt idx="6">
                  <c:v>18</c:v>
                </c:pt>
                <c:pt idx="7">
                  <c:v>54</c:v>
                </c:pt>
                <c:pt idx="8">
                  <c:v>117</c:v>
                </c:pt>
                <c:pt idx="9">
                  <c:v>185</c:v>
                </c:pt>
                <c:pt idx="10">
                  <c:v>241</c:v>
                </c:pt>
                <c:pt idx="11">
                  <c:v>288</c:v>
                </c:pt>
                <c:pt idx="12">
                  <c:v>305</c:v>
                </c:pt>
                <c:pt idx="13">
                  <c:v>319</c:v>
                </c:pt>
              </c:numCache>
            </c:numRef>
          </c:val>
          <c:smooth val="0"/>
        </c:ser>
        <c:ser>
          <c:idx val="6"/>
          <c:order val="6"/>
          <c:tx>
            <c:v>connect (Realistic)</c:v>
          </c:tx>
          <c:spPr>
            <a:ln>
              <a:solidFill>
                <a:srgbClr val="6DC71B"/>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Networks'!$Q$4:$Q$26</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formatCode="#,##0.00">
                  <c:v>5.5007231534220366E-2</c:v>
                </c:pt>
                <c:pt idx="18" formatCode="#,##0.00">
                  <c:v>0.26211723812496734</c:v>
                </c:pt>
                <c:pt idx="19" formatCode="#,##0.00">
                  <c:v>2.0163530394777931</c:v>
                </c:pt>
                <c:pt idx="20" formatCode="#,##0.00">
                  <c:v>5.8912056794336474</c:v>
                </c:pt>
                <c:pt idx="21" formatCode="#,##0.00">
                  <c:v>14.010941670429698</c:v>
                </c:pt>
                <c:pt idx="22" formatCode="#,##0.00">
                  <c:v>25.294677306404136</c:v>
                </c:pt>
              </c:numCache>
            </c:numRef>
          </c:val>
          <c:smooth val="0"/>
        </c:ser>
        <c:ser>
          <c:idx val="7"/>
          <c:order val="7"/>
          <c:tx>
            <c:v>connect (You)</c:v>
          </c:tx>
          <c:spPr>
            <a:ln>
              <a:solidFill>
                <a:schemeClr val="accent6">
                  <a:lumMod val="75000"/>
                </a:schemeClr>
              </a:solidFill>
            </a:ln>
          </c:spPr>
          <c:marker>
            <c:symbol val="none"/>
          </c:marker>
          <c:val>
            <c:numRef>
              <c:f>'Comparision successful Networks'!$O$4:$O$26</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formatCode="#,##0.00">
                  <c:v>2.6787965261703416E-2</c:v>
                </c:pt>
                <c:pt idx="18" formatCode="#,##0.00">
                  <c:v>3.8454597338960603E-2</c:v>
                </c:pt>
                <c:pt idx="19" formatCode="#,##0.00">
                  <c:v>3.8454597338960603E-2</c:v>
                </c:pt>
                <c:pt idx="20" formatCode="#,##0.00">
                  <c:v>3.8454597338960603E-2</c:v>
                </c:pt>
                <c:pt idx="21" formatCode="#,##0.00">
                  <c:v>3.8454597338960603E-2</c:v>
                </c:pt>
                <c:pt idx="22" formatCode="#,##0.00">
                  <c:v>3.8454597338960603E-2</c:v>
                </c:pt>
              </c:numCache>
            </c:numRef>
          </c:val>
          <c:smooth val="0"/>
        </c:ser>
        <c:dLbls>
          <c:showLegendKey val="0"/>
          <c:showVal val="0"/>
          <c:showCatName val="0"/>
          <c:showSerName val="0"/>
          <c:showPercent val="0"/>
          <c:showBubbleSize val="0"/>
        </c:dLbls>
        <c:marker val="1"/>
        <c:smooth val="0"/>
        <c:axId val="167753728"/>
        <c:axId val="185062464"/>
      </c:lineChart>
      <c:catAx>
        <c:axId val="167753728"/>
        <c:scaling>
          <c:orientation val="minMax"/>
        </c:scaling>
        <c:delete val="0"/>
        <c:axPos val="b"/>
        <c:numFmt formatCode="@" sourceLinked="0"/>
        <c:majorTickMark val="out"/>
        <c:minorTickMark val="none"/>
        <c:tickLblPos val="nextTo"/>
        <c:crossAx val="185062464"/>
        <c:crosses val="autoZero"/>
        <c:auto val="1"/>
        <c:lblAlgn val="ctr"/>
        <c:lblOffset val="100"/>
        <c:noMultiLvlLbl val="0"/>
      </c:catAx>
      <c:valAx>
        <c:axId val="185062464"/>
        <c:scaling>
          <c:orientation val="minMax"/>
        </c:scaling>
        <c:delete val="0"/>
        <c:axPos val="l"/>
        <c:majorGridlines/>
        <c:numFmt formatCode="General" sourceLinked="1"/>
        <c:majorTickMark val="out"/>
        <c:minorTickMark val="none"/>
        <c:tickLblPos val="nextTo"/>
        <c:crossAx val="167753728"/>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val>
            <c:numRef>
              <c:f>'Comparision successful Networks'!$C$5:$C$18</c:f>
              <c:numCache>
                <c:formatCode>General</c:formatCode>
                <c:ptCount val="14"/>
                <c:pt idx="0">
                  <c:v>1</c:v>
                </c:pt>
                <c:pt idx="1">
                  <c:v>6</c:v>
                </c:pt>
                <c:pt idx="2">
                  <c:v>12</c:v>
                </c:pt>
                <c:pt idx="3">
                  <c:v>58</c:v>
                </c:pt>
                <c:pt idx="4">
                  <c:v>145</c:v>
                </c:pt>
                <c:pt idx="5">
                  <c:v>360</c:v>
                </c:pt>
                <c:pt idx="6">
                  <c:v>608</c:v>
                </c:pt>
                <c:pt idx="7">
                  <c:v>845</c:v>
                </c:pt>
                <c:pt idx="8">
                  <c:v>1056</c:v>
                </c:pt>
                <c:pt idx="9">
                  <c:v>1230</c:v>
                </c:pt>
                <c:pt idx="10">
                  <c:v>1393</c:v>
                </c:pt>
                <c:pt idx="11">
                  <c:v>1591</c:v>
                </c:pt>
                <c:pt idx="12">
                  <c:v>1860</c:v>
                </c:pt>
                <c:pt idx="13">
                  <c:v>2072</c:v>
                </c:pt>
              </c:numCache>
            </c:numRef>
          </c:val>
          <c:smooth val="0"/>
        </c:ser>
        <c:ser>
          <c:idx val="1"/>
          <c:order val="1"/>
          <c:tx>
            <c:v>WhatsApp</c:v>
          </c:tx>
          <c:spPr>
            <a:ln>
              <a:solidFill>
                <a:srgbClr val="7030A0"/>
              </a:solidFill>
            </a:ln>
          </c:spPr>
          <c:marker>
            <c:symbol val="none"/>
          </c:marker>
          <c:val>
            <c:numRef>
              <c:f>'Comparision successful Networks'!$E$9:$E$18</c:f>
              <c:numCache>
                <c:formatCode>General</c:formatCode>
                <c:ptCount val="10"/>
                <c:pt idx="0">
                  <c:v>0.01</c:v>
                </c:pt>
                <c:pt idx="1">
                  <c:v>0.25</c:v>
                </c:pt>
                <c:pt idx="2">
                  <c:v>5</c:v>
                </c:pt>
                <c:pt idx="3">
                  <c:v>35</c:v>
                </c:pt>
                <c:pt idx="4">
                  <c:v>150</c:v>
                </c:pt>
                <c:pt idx="5">
                  <c:v>400</c:v>
                </c:pt>
                <c:pt idx="6">
                  <c:v>600</c:v>
                </c:pt>
                <c:pt idx="7">
                  <c:v>900</c:v>
                </c:pt>
                <c:pt idx="8">
                  <c:v>1000</c:v>
                </c:pt>
                <c:pt idx="9">
                  <c:v>1500</c:v>
                </c:pt>
              </c:numCache>
            </c:numRef>
          </c:val>
          <c:smooth val="0"/>
        </c:ser>
        <c:ser>
          <c:idx val="2"/>
          <c:order val="2"/>
          <c:tx>
            <c:v>WeChat</c:v>
          </c:tx>
          <c:spPr>
            <a:ln>
              <a:solidFill>
                <a:srgbClr val="FF0000"/>
              </a:solidFill>
            </a:ln>
          </c:spPr>
          <c:marker>
            <c:symbol val="none"/>
          </c:marker>
          <c:val>
            <c:numRef>
              <c:f>'Comparision successful Networks'!$G$12:$G$18</c:f>
              <c:numCache>
                <c:formatCode>General</c:formatCode>
                <c:ptCount val="7"/>
                <c:pt idx="0">
                  <c:v>50</c:v>
                </c:pt>
                <c:pt idx="1">
                  <c:v>160</c:v>
                </c:pt>
                <c:pt idx="2">
                  <c:v>355</c:v>
                </c:pt>
                <c:pt idx="3">
                  <c:v>500</c:v>
                </c:pt>
                <c:pt idx="4">
                  <c:v>697</c:v>
                </c:pt>
                <c:pt idx="5">
                  <c:v>889</c:v>
                </c:pt>
                <c:pt idx="6">
                  <c:v>980</c:v>
                </c:pt>
              </c:numCache>
            </c:numRef>
          </c:val>
          <c:smooth val="0"/>
        </c:ser>
        <c:ser>
          <c:idx val="3"/>
          <c:order val="3"/>
          <c:tx>
            <c:v>Instagram</c:v>
          </c:tx>
          <c:spPr>
            <a:ln>
              <a:solidFill>
                <a:srgbClr val="FFC000"/>
              </a:solidFill>
            </a:ln>
          </c:spPr>
          <c:marker>
            <c:symbol val="none"/>
          </c:marker>
          <c:val>
            <c:numRef>
              <c:f>'Comparision successful Networks'!$I$11:$I$18</c:f>
              <c:numCache>
                <c:formatCode>General</c:formatCode>
                <c:ptCount val="8"/>
                <c:pt idx="0">
                  <c:v>1</c:v>
                </c:pt>
                <c:pt idx="1">
                  <c:v>10</c:v>
                </c:pt>
                <c:pt idx="2">
                  <c:v>80</c:v>
                </c:pt>
                <c:pt idx="3">
                  <c:v>150</c:v>
                </c:pt>
                <c:pt idx="4">
                  <c:v>300</c:v>
                </c:pt>
                <c:pt idx="5">
                  <c:v>400</c:v>
                </c:pt>
                <c:pt idx="6">
                  <c:v>600</c:v>
                </c:pt>
                <c:pt idx="7">
                  <c:v>800</c:v>
                </c:pt>
              </c:numCache>
            </c:numRef>
          </c:val>
          <c:smooth val="0"/>
        </c:ser>
        <c:ser>
          <c:idx val="4"/>
          <c:order val="4"/>
          <c:tx>
            <c:v>LinkedIn</c:v>
          </c:tx>
          <c:spPr>
            <a:ln>
              <a:solidFill>
                <a:schemeClr val="accent5">
                  <a:lumMod val="75000"/>
                </a:schemeClr>
              </a:solidFill>
            </a:ln>
          </c:spPr>
          <c:marker>
            <c:symbol val="none"/>
          </c:marker>
          <c:val>
            <c:numRef>
              <c:f>'Comparision successful Networks'!$K$4:$K$16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val>
            <c:numRef>
              <c:f>'Comparision successful Networks'!$M$7:$M$17</c:f>
              <c:numCache>
                <c:formatCode>General</c:formatCode>
                <c:ptCount val="11"/>
                <c:pt idx="0">
                  <c:v>1.6E-2</c:v>
                </c:pt>
                <c:pt idx="1">
                  <c:v>0.70199999999999996</c:v>
                </c:pt>
                <c:pt idx="2">
                  <c:v>4</c:v>
                </c:pt>
                <c:pt idx="3">
                  <c:v>18</c:v>
                </c:pt>
                <c:pt idx="4">
                  <c:v>54</c:v>
                </c:pt>
                <c:pt idx="5">
                  <c:v>117</c:v>
                </c:pt>
                <c:pt idx="6">
                  <c:v>185</c:v>
                </c:pt>
                <c:pt idx="7">
                  <c:v>241</c:v>
                </c:pt>
                <c:pt idx="8">
                  <c:v>288</c:v>
                </c:pt>
                <c:pt idx="9">
                  <c:v>305</c:v>
                </c:pt>
                <c:pt idx="10">
                  <c:v>319</c:v>
                </c:pt>
              </c:numCache>
            </c:numRef>
          </c:val>
          <c:smooth val="0"/>
        </c:ser>
        <c:ser>
          <c:idx val="6"/>
          <c:order val="6"/>
          <c:tx>
            <c:v>connect (Wir)</c:v>
          </c:tx>
          <c:spPr>
            <a:ln>
              <a:solidFill>
                <a:srgbClr val="6DC71B"/>
              </a:solidFill>
            </a:ln>
          </c:spPr>
          <c:marker>
            <c:symbol val="none"/>
          </c:marker>
          <c:val>
            <c:numRef>
              <c:f>'Comparision successful Networks'!$Q$21:$Q$26</c:f>
              <c:numCache>
                <c:formatCode>#,##0.00</c:formatCode>
                <c:ptCount val="6"/>
                <c:pt idx="0">
                  <c:v>5.5007231534220366E-2</c:v>
                </c:pt>
                <c:pt idx="1">
                  <c:v>0.26211723812496734</c:v>
                </c:pt>
                <c:pt idx="2">
                  <c:v>2.0163530394777931</c:v>
                </c:pt>
                <c:pt idx="3">
                  <c:v>5.8912056794336474</c:v>
                </c:pt>
                <c:pt idx="4">
                  <c:v>14.010941670429698</c:v>
                </c:pt>
                <c:pt idx="5">
                  <c:v>25.294677306404136</c:v>
                </c:pt>
              </c:numCache>
            </c:numRef>
          </c:val>
          <c:smooth val="0"/>
        </c:ser>
        <c:ser>
          <c:idx val="7"/>
          <c:order val="7"/>
          <c:tx>
            <c:v>connect (Sie)</c:v>
          </c:tx>
          <c:spPr>
            <a:ln>
              <a:solidFill>
                <a:schemeClr val="accent6">
                  <a:lumMod val="75000"/>
                </a:schemeClr>
              </a:solidFill>
            </a:ln>
          </c:spPr>
          <c:marker>
            <c:symbol val="none"/>
          </c:marker>
          <c:val>
            <c:numRef>
              <c:f>'Comparision successful Networks'!$O$21:$O$26</c:f>
              <c:numCache>
                <c:formatCode>#,##0.00</c:formatCode>
                <c:ptCount val="6"/>
                <c:pt idx="0">
                  <c:v>2.6787965261703416E-2</c:v>
                </c:pt>
                <c:pt idx="1">
                  <c:v>3.8454597338960603E-2</c:v>
                </c:pt>
                <c:pt idx="2">
                  <c:v>3.8454597338960603E-2</c:v>
                </c:pt>
                <c:pt idx="3">
                  <c:v>3.8454597338960603E-2</c:v>
                </c:pt>
                <c:pt idx="4">
                  <c:v>3.8454597338960603E-2</c:v>
                </c:pt>
                <c:pt idx="5">
                  <c:v>3.8454597338960603E-2</c:v>
                </c:pt>
              </c:numCache>
            </c:numRef>
          </c:val>
          <c:smooth val="0"/>
        </c:ser>
        <c:dLbls>
          <c:showLegendKey val="0"/>
          <c:showVal val="0"/>
          <c:showCatName val="0"/>
          <c:showSerName val="0"/>
          <c:showPercent val="0"/>
          <c:showBubbleSize val="0"/>
        </c:dLbls>
        <c:marker val="1"/>
        <c:smooth val="0"/>
        <c:axId val="167754752"/>
        <c:axId val="185064192"/>
      </c:lineChart>
      <c:catAx>
        <c:axId val="167754752"/>
        <c:scaling>
          <c:orientation val="minMax"/>
        </c:scaling>
        <c:delete val="0"/>
        <c:axPos val="b"/>
        <c:numFmt formatCode="General" sourceLinked="1"/>
        <c:majorTickMark val="out"/>
        <c:minorTickMark val="none"/>
        <c:tickLblPos val="nextTo"/>
        <c:crossAx val="185064192"/>
        <c:crosses val="autoZero"/>
        <c:auto val="1"/>
        <c:lblAlgn val="ctr"/>
        <c:lblOffset val="100"/>
        <c:noMultiLvlLbl val="0"/>
      </c:catAx>
      <c:valAx>
        <c:axId val="185064192"/>
        <c:scaling>
          <c:orientation val="minMax"/>
        </c:scaling>
        <c:delete val="0"/>
        <c:axPos val="l"/>
        <c:majorGridlines/>
        <c:numFmt formatCode="General" sourceLinked="1"/>
        <c:majorTickMark val="out"/>
        <c:minorTickMark val="none"/>
        <c:tickLblPos val="nextTo"/>
        <c:crossAx val="167754752"/>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val>
            <c:numRef>
              <c:f>'Comparision successful Networks'!$C$5:$C$20</c:f>
              <c:numCache>
                <c:formatCode>General</c:formatCode>
                <c:ptCount val="16"/>
                <c:pt idx="0">
                  <c:v>1</c:v>
                </c:pt>
                <c:pt idx="1">
                  <c:v>6</c:v>
                </c:pt>
                <c:pt idx="2">
                  <c:v>12</c:v>
                </c:pt>
                <c:pt idx="3">
                  <c:v>58</c:v>
                </c:pt>
                <c:pt idx="4">
                  <c:v>145</c:v>
                </c:pt>
                <c:pt idx="5">
                  <c:v>360</c:v>
                </c:pt>
                <c:pt idx="6">
                  <c:v>608</c:v>
                </c:pt>
                <c:pt idx="7">
                  <c:v>845</c:v>
                </c:pt>
                <c:pt idx="8">
                  <c:v>1056</c:v>
                </c:pt>
                <c:pt idx="9">
                  <c:v>1230</c:v>
                </c:pt>
                <c:pt idx="10">
                  <c:v>1393</c:v>
                </c:pt>
                <c:pt idx="11">
                  <c:v>1591</c:v>
                </c:pt>
                <c:pt idx="12">
                  <c:v>1860</c:v>
                </c:pt>
                <c:pt idx="13">
                  <c:v>2072</c:v>
                </c:pt>
                <c:pt idx="14">
                  <c:v>2250</c:v>
                </c:pt>
                <c:pt idx="15">
                  <c:v>2450</c:v>
                </c:pt>
              </c:numCache>
            </c:numRef>
          </c:val>
          <c:smooth val="0"/>
        </c:ser>
        <c:ser>
          <c:idx val="1"/>
          <c:order val="1"/>
          <c:tx>
            <c:v>WhatsApp</c:v>
          </c:tx>
          <c:spPr>
            <a:ln>
              <a:solidFill>
                <a:srgbClr val="7030A0"/>
              </a:solidFill>
            </a:ln>
          </c:spPr>
          <c:marker>
            <c:symbol val="none"/>
          </c:marker>
          <c:val>
            <c:numRef>
              <c:f>'Comparision successful Networks'!$E$9:$E$18</c:f>
              <c:numCache>
                <c:formatCode>General</c:formatCode>
                <c:ptCount val="10"/>
                <c:pt idx="0">
                  <c:v>0.01</c:v>
                </c:pt>
                <c:pt idx="1">
                  <c:v>0.25</c:v>
                </c:pt>
                <c:pt idx="2">
                  <c:v>5</c:v>
                </c:pt>
                <c:pt idx="3">
                  <c:v>35</c:v>
                </c:pt>
                <c:pt idx="4">
                  <c:v>150</c:v>
                </c:pt>
                <c:pt idx="5">
                  <c:v>400</c:v>
                </c:pt>
                <c:pt idx="6">
                  <c:v>600</c:v>
                </c:pt>
                <c:pt idx="7">
                  <c:v>900</c:v>
                </c:pt>
                <c:pt idx="8">
                  <c:v>1000</c:v>
                </c:pt>
                <c:pt idx="9">
                  <c:v>1500</c:v>
                </c:pt>
              </c:numCache>
            </c:numRef>
          </c:val>
          <c:smooth val="0"/>
        </c:ser>
        <c:ser>
          <c:idx val="2"/>
          <c:order val="2"/>
          <c:tx>
            <c:v>WeChat</c:v>
          </c:tx>
          <c:spPr>
            <a:ln>
              <a:solidFill>
                <a:srgbClr val="FF0000"/>
              </a:solidFill>
            </a:ln>
          </c:spPr>
          <c:marker>
            <c:symbol val="none"/>
          </c:marker>
          <c:val>
            <c:numRef>
              <c:f>'Comparision successful Networks'!$G$12:$G$20</c:f>
              <c:numCache>
                <c:formatCode>General</c:formatCode>
                <c:ptCount val="9"/>
                <c:pt idx="0">
                  <c:v>50</c:v>
                </c:pt>
                <c:pt idx="1">
                  <c:v>160</c:v>
                </c:pt>
                <c:pt idx="2">
                  <c:v>355</c:v>
                </c:pt>
                <c:pt idx="3">
                  <c:v>500</c:v>
                </c:pt>
                <c:pt idx="4">
                  <c:v>697</c:v>
                </c:pt>
                <c:pt idx="5">
                  <c:v>889</c:v>
                </c:pt>
                <c:pt idx="6">
                  <c:v>980</c:v>
                </c:pt>
                <c:pt idx="7">
                  <c:v>1100</c:v>
                </c:pt>
                <c:pt idx="8">
                  <c:v>1160</c:v>
                </c:pt>
              </c:numCache>
            </c:numRef>
          </c:val>
          <c:smooth val="0"/>
        </c:ser>
        <c:ser>
          <c:idx val="3"/>
          <c:order val="3"/>
          <c:tx>
            <c:v>Instagram</c:v>
          </c:tx>
          <c:spPr>
            <a:ln>
              <a:solidFill>
                <a:srgbClr val="FFC000"/>
              </a:solidFill>
            </a:ln>
          </c:spPr>
          <c:marker>
            <c:symbol val="none"/>
          </c:marker>
          <c:val>
            <c:numRef>
              <c:f>'Comparision successful Networks'!$I$11:$I$19</c:f>
              <c:numCache>
                <c:formatCode>General</c:formatCode>
                <c:ptCount val="9"/>
                <c:pt idx="0">
                  <c:v>1</c:v>
                </c:pt>
                <c:pt idx="1">
                  <c:v>10</c:v>
                </c:pt>
                <c:pt idx="2">
                  <c:v>80</c:v>
                </c:pt>
                <c:pt idx="3">
                  <c:v>150</c:v>
                </c:pt>
                <c:pt idx="4">
                  <c:v>300</c:v>
                </c:pt>
                <c:pt idx="5">
                  <c:v>400</c:v>
                </c:pt>
                <c:pt idx="6">
                  <c:v>600</c:v>
                </c:pt>
                <c:pt idx="7">
                  <c:v>800</c:v>
                </c:pt>
                <c:pt idx="8">
                  <c:v>1000</c:v>
                </c:pt>
              </c:numCache>
            </c:numRef>
          </c:val>
          <c:smooth val="0"/>
        </c:ser>
        <c:ser>
          <c:idx val="4"/>
          <c:order val="4"/>
          <c:tx>
            <c:v>LinkedIn</c:v>
          </c:tx>
          <c:spPr>
            <a:ln>
              <a:solidFill>
                <a:schemeClr val="accent5">
                  <a:lumMod val="75000"/>
                </a:schemeClr>
              </a:solidFill>
            </a:ln>
          </c:spPr>
          <c:marker>
            <c:symbol val="none"/>
          </c:marker>
          <c:val>
            <c:numRef>
              <c:f>'Comparision successful Networks'!$K$4:$K$16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val>
            <c:numRef>
              <c:f>'Comparision successful Networks'!$M$7:$M$17</c:f>
              <c:numCache>
                <c:formatCode>General</c:formatCode>
                <c:ptCount val="11"/>
                <c:pt idx="0">
                  <c:v>1.6E-2</c:v>
                </c:pt>
                <c:pt idx="1">
                  <c:v>0.70199999999999996</c:v>
                </c:pt>
                <c:pt idx="2">
                  <c:v>4</c:v>
                </c:pt>
                <c:pt idx="3">
                  <c:v>18</c:v>
                </c:pt>
                <c:pt idx="4">
                  <c:v>54</c:v>
                </c:pt>
                <c:pt idx="5">
                  <c:v>117</c:v>
                </c:pt>
                <c:pt idx="6">
                  <c:v>185</c:v>
                </c:pt>
                <c:pt idx="7">
                  <c:v>241</c:v>
                </c:pt>
                <c:pt idx="8">
                  <c:v>288</c:v>
                </c:pt>
                <c:pt idx="9">
                  <c:v>305</c:v>
                </c:pt>
                <c:pt idx="10">
                  <c:v>319</c:v>
                </c:pt>
              </c:numCache>
            </c:numRef>
          </c:val>
          <c:smooth val="0"/>
        </c:ser>
        <c:ser>
          <c:idx val="6"/>
          <c:order val="6"/>
          <c:tx>
            <c:v>connect (Realistic)</c:v>
          </c:tx>
          <c:spPr>
            <a:ln>
              <a:solidFill>
                <a:srgbClr val="6DC71B"/>
              </a:solidFill>
            </a:ln>
          </c:spPr>
          <c:marker>
            <c:symbol val="none"/>
          </c:marker>
          <c:val>
            <c:numRef>
              <c:f>'Comparision successful Networks'!$Q$21:$Q$26</c:f>
              <c:numCache>
                <c:formatCode>#,##0.00</c:formatCode>
                <c:ptCount val="6"/>
                <c:pt idx="0">
                  <c:v>5.5007231534220366E-2</c:v>
                </c:pt>
                <c:pt idx="1">
                  <c:v>0.26211723812496734</c:v>
                </c:pt>
                <c:pt idx="2">
                  <c:v>2.0163530394777931</c:v>
                </c:pt>
                <c:pt idx="3">
                  <c:v>5.8912056794336474</c:v>
                </c:pt>
                <c:pt idx="4">
                  <c:v>14.010941670429698</c:v>
                </c:pt>
                <c:pt idx="5">
                  <c:v>25.294677306404136</c:v>
                </c:pt>
              </c:numCache>
            </c:numRef>
          </c:val>
          <c:smooth val="0"/>
        </c:ser>
        <c:ser>
          <c:idx val="7"/>
          <c:order val="7"/>
          <c:tx>
            <c:v>connect (You)</c:v>
          </c:tx>
          <c:spPr>
            <a:ln>
              <a:solidFill>
                <a:schemeClr val="accent6">
                  <a:lumMod val="75000"/>
                </a:schemeClr>
              </a:solidFill>
            </a:ln>
          </c:spPr>
          <c:marker>
            <c:symbol val="none"/>
          </c:marker>
          <c:val>
            <c:numRef>
              <c:f>'Comparision successful Networks'!$O$21:$O$26</c:f>
              <c:numCache>
                <c:formatCode>#,##0.00</c:formatCode>
                <c:ptCount val="6"/>
                <c:pt idx="0">
                  <c:v>2.6787965261703416E-2</c:v>
                </c:pt>
                <c:pt idx="1">
                  <c:v>3.8454597338960603E-2</c:v>
                </c:pt>
                <c:pt idx="2">
                  <c:v>3.8454597338960603E-2</c:v>
                </c:pt>
                <c:pt idx="3">
                  <c:v>3.8454597338960603E-2</c:v>
                </c:pt>
                <c:pt idx="4">
                  <c:v>3.8454597338960603E-2</c:v>
                </c:pt>
                <c:pt idx="5">
                  <c:v>3.8454597338960603E-2</c:v>
                </c:pt>
              </c:numCache>
            </c:numRef>
          </c:val>
          <c:smooth val="0"/>
        </c:ser>
        <c:dLbls>
          <c:showLegendKey val="0"/>
          <c:showVal val="0"/>
          <c:showCatName val="0"/>
          <c:showSerName val="0"/>
          <c:showPercent val="0"/>
          <c:showBubbleSize val="0"/>
        </c:dLbls>
        <c:marker val="1"/>
        <c:smooth val="0"/>
        <c:axId val="169250816"/>
        <c:axId val="185059008"/>
      </c:lineChart>
      <c:catAx>
        <c:axId val="169250816"/>
        <c:scaling>
          <c:orientation val="minMax"/>
        </c:scaling>
        <c:delete val="0"/>
        <c:axPos val="b"/>
        <c:numFmt formatCode="General" sourceLinked="1"/>
        <c:majorTickMark val="out"/>
        <c:minorTickMark val="none"/>
        <c:tickLblPos val="nextTo"/>
        <c:crossAx val="185059008"/>
        <c:crosses val="autoZero"/>
        <c:auto val="1"/>
        <c:lblAlgn val="ctr"/>
        <c:lblOffset val="100"/>
        <c:noMultiLvlLbl val="0"/>
      </c:catAx>
      <c:valAx>
        <c:axId val="185059008"/>
        <c:scaling>
          <c:orientation val="minMax"/>
        </c:scaling>
        <c:delete val="0"/>
        <c:axPos val="l"/>
        <c:majorGridlines/>
        <c:numFmt formatCode="General" sourceLinked="1"/>
        <c:majorTickMark val="out"/>
        <c:minorTickMark val="none"/>
        <c:tickLblPos val="nextTo"/>
        <c:crossAx val="169250816"/>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User</c:v>
          </c:tx>
          <c:spPr>
            <a:solidFill>
              <a:schemeClr val="tx2">
                <a:lumMod val="60000"/>
                <a:lumOff val="40000"/>
              </a:schemeClr>
            </a:solidFill>
          </c:spPr>
          <c:invertIfNegative val="0"/>
          <c:cat>
            <c:strRef>
              <c:f>'Possible+'!$B$260:$I$260</c:f>
              <c:strCache>
                <c:ptCount val="8"/>
                <c:pt idx="0">
                  <c:v>Q1 2020</c:v>
                </c:pt>
                <c:pt idx="1">
                  <c:v>Q2 2020</c:v>
                </c:pt>
                <c:pt idx="2">
                  <c:v>Q3 2020</c:v>
                </c:pt>
                <c:pt idx="3">
                  <c:v>Q4 2020</c:v>
                </c:pt>
                <c:pt idx="4">
                  <c:v>Q1 2021</c:v>
                </c:pt>
                <c:pt idx="5">
                  <c:v>Q2 2021</c:v>
                </c:pt>
                <c:pt idx="6">
                  <c:v>Q3 2021</c:v>
                </c:pt>
                <c:pt idx="7">
                  <c:v>Q4 2021</c:v>
                </c:pt>
              </c:strCache>
            </c:strRef>
          </c:cat>
          <c:val>
            <c:numRef>
              <c:f>('Possible+'!$F$18:$I$18,'Possible+'!$K$18:$N$18)</c:f>
              <c:numCache>
                <c:formatCode>#,##0</c:formatCode>
                <c:ptCount val="8"/>
                <c:pt idx="0">
                  <c:v>2145.2140738464004</c:v>
                </c:pt>
                <c:pt idx="1">
                  <c:v>5119.0141529075154</c:v>
                </c:pt>
                <c:pt idx="2">
                  <c:v>36243.022037055875</c:v>
                </c:pt>
                <c:pt idx="3">
                  <c:v>94251.717865509258</c:v>
                </c:pt>
                <c:pt idx="4">
                  <c:v>205137.69641011674</c:v>
                </c:pt>
                <c:pt idx="5">
                  <c:v>420780.12159736222</c:v>
                </c:pt>
                <c:pt idx="6">
                  <c:v>839616.37972885172</c:v>
                </c:pt>
                <c:pt idx="7">
                  <c:v>1669491.5514034163</c:v>
                </c:pt>
              </c:numCache>
            </c:numRef>
          </c:val>
        </c:ser>
        <c:ser>
          <c:idx val="1"/>
          <c:order val="1"/>
          <c:tx>
            <c:v>Income</c:v>
          </c:tx>
          <c:spPr>
            <a:solidFill>
              <a:srgbClr val="6DC71B"/>
            </a:solidFill>
          </c:spPr>
          <c:invertIfNegative val="0"/>
          <c:cat>
            <c:strRef>
              <c:f>'Possible+'!$B$260:$I$260</c:f>
              <c:strCache>
                <c:ptCount val="8"/>
                <c:pt idx="0">
                  <c:v>Q1 2020</c:v>
                </c:pt>
                <c:pt idx="1">
                  <c:v>Q2 2020</c:v>
                </c:pt>
                <c:pt idx="2">
                  <c:v>Q3 2020</c:v>
                </c:pt>
                <c:pt idx="3">
                  <c:v>Q4 2020</c:v>
                </c:pt>
                <c:pt idx="4">
                  <c:v>Q1 2021</c:v>
                </c:pt>
                <c:pt idx="5">
                  <c:v>Q2 2021</c:v>
                </c:pt>
                <c:pt idx="6">
                  <c:v>Q3 2021</c:v>
                </c:pt>
                <c:pt idx="7">
                  <c:v>Q4 2021</c:v>
                </c:pt>
              </c:strCache>
            </c:strRef>
          </c:cat>
          <c:val>
            <c:numRef>
              <c:f>('Possible+'!$F$30:$I$30,'Possible+'!$K$30:$N$30)</c:f>
              <c:numCache>
                <c:formatCode>#,##0\ "€"</c:formatCode>
                <c:ptCount val="8"/>
                <c:pt idx="0">
                  <c:v>0</c:v>
                </c:pt>
                <c:pt idx="1">
                  <c:v>0</c:v>
                </c:pt>
                <c:pt idx="2">
                  <c:v>36967.049327299967</c:v>
                </c:pt>
                <c:pt idx="3">
                  <c:v>205221.59489155581</c:v>
                </c:pt>
                <c:pt idx="4">
                  <c:v>660327.64718086866</c:v>
                </c:pt>
                <c:pt idx="5">
                  <c:v>1763337.4637606018</c:v>
                </c:pt>
                <c:pt idx="6">
                  <c:v>4327853.6189213097</c:v>
                </c:pt>
                <c:pt idx="7">
                  <c:v>10183737.369946245</c:v>
                </c:pt>
              </c:numCache>
            </c:numRef>
          </c:val>
        </c:ser>
        <c:ser>
          <c:idx val="2"/>
          <c:order val="2"/>
          <c:tx>
            <c:v>Expenses</c:v>
          </c:tx>
          <c:spPr>
            <a:solidFill>
              <a:srgbClr val="FF0000"/>
            </a:solidFill>
          </c:spPr>
          <c:invertIfNegative val="0"/>
          <c:cat>
            <c:strRef>
              <c:f>'Possible+'!$B$260:$I$260</c:f>
              <c:strCache>
                <c:ptCount val="8"/>
                <c:pt idx="0">
                  <c:v>Q1 2020</c:v>
                </c:pt>
                <c:pt idx="1">
                  <c:v>Q2 2020</c:v>
                </c:pt>
                <c:pt idx="2">
                  <c:v>Q3 2020</c:v>
                </c:pt>
                <c:pt idx="3">
                  <c:v>Q4 2020</c:v>
                </c:pt>
                <c:pt idx="4">
                  <c:v>Q1 2021</c:v>
                </c:pt>
                <c:pt idx="5">
                  <c:v>Q2 2021</c:v>
                </c:pt>
                <c:pt idx="6">
                  <c:v>Q3 2021</c:v>
                </c:pt>
                <c:pt idx="7">
                  <c:v>Q4 2021</c:v>
                </c:pt>
              </c:strCache>
            </c:strRef>
          </c:cat>
          <c:val>
            <c:numRef>
              <c:f>('Possible+'!$F$47:$I$47,'Possible+'!$K$47:$N$47)</c:f>
              <c:numCache>
                <c:formatCode>#,##0\ "€"</c:formatCode>
                <c:ptCount val="8"/>
                <c:pt idx="0">
                  <c:v>132082.35642221541</c:v>
                </c:pt>
                <c:pt idx="1">
                  <c:v>164168.57042458723</c:v>
                </c:pt>
                <c:pt idx="2">
                  <c:v>183755.20223058364</c:v>
                </c:pt>
                <c:pt idx="3">
                  <c:v>282384.08194954484</c:v>
                </c:pt>
                <c:pt idx="4">
                  <c:v>617057.31409165228</c:v>
                </c:pt>
                <c:pt idx="5">
                  <c:v>1404770.5093949882</c:v>
                </c:pt>
                <c:pt idx="6">
                  <c:v>3240600.600763856</c:v>
                </c:pt>
                <c:pt idx="7">
                  <c:v>7172215.1542877872</c:v>
                </c:pt>
              </c:numCache>
            </c:numRef>
          </c:val>
        </c:ser>
        <c:ser>
          <c:idx val="3"/>
          <c:order val="3"/>
          <c:tx>
            <c:v>Result</c:v>
          </c:tx>
          <c:spPr>
            <a:solidFill>
              <a:srgbClr val="FFC000"/>
            </a:solidFill>
          </c:spPr>
          <c:invertIfNegative val="0"/>
          <c:cat>
            <c:strRef>
              <c:f>'Possible+'!$B$260:$I$260</c:f>
              <c:strCache>
                <c:ptCount val="8"/>
                <c:pt idx="0">
                  <c:v>Q1 2020</c:v>
                </c:pt>
                <c:pt idx="1">
                  <c:v>Q2 2020</c:v>
                </c:pt>
                <c:pt idx="2">
                  <c:v>Q3 2020</c:v>
                </c:pt>
                <c:pt idx="3">
                  <c:v>Q4 2020</c:v>
                </c:pt>
                <c:pt idx="4">
                  <c:v>Q1 2021</c:v>
                </c:pt>
                <c:pt idx="5">
                  <c:v>Q2 2021</c:v>
                </c:pt>
                <c:pt idx="6">
                  <c:v>Q3 2021</c:v>
                </c:pt>
                <c:pt idx="7">
                  <c:v>Q4 2021</c:v>
                </c:pt>
              </c:strCache>
            </c:strRef>
          </c:cat>
          <c:val>
            <c:numRef>
              <c:f>('Possible+'!$F$49:$I$49,'Possible+'!$K$49:$N$49)</c:f>
              <c:numCache>
                <c:formatCode>#,##0\ "€"</c:formatCode>
                <c:ptCount val="8"/>
                <c:pt idx="0">
                  <c:v>-132082.35642221541</c:v>
                </c:pt>
                <c:pt idx="1">
                  <c:v>-164168.57042458723</c:v>
                </c:pt>
                <c:pt idx="2">
                  <c:v>-146788.15290328368</c:v>
                </c:pt>
                <c:pt idx="3">
                  <c:v>-77162.487057989027</c:v>
                </c:pt>
                <c:pt idx="4">
                  <c:v>43270.333089216379</c:v>
                </c:pt>
                <c:pt idx="5">
                  <c:v>358566.95436561364</c:v>
                </c:pt>
                <c:pt idx="6">
                  <c:v>1087253.0181574537</c:v>
                </c:pt>
                <c:pt idx="7">
                  <c:v>3011522.2156584579</c:v>
                </c:pt>
              </c:numCache>
            </c:numRef>
          </c:val>
        </c:ser>
        <c:dLbls>
          <c:showLegendKey val="0"/>
          <c:showVal val="0"/>
          <c:showCatName val="0"/>
          <c:showSerName val="0"/>
          <c:showPercent val="0"/>
          <c:showBubbleSize val="0"/>
        </c:dLbls>
        <c:gapWidth val="150"/>
        <c:axId val="172602880"/>
        <c:axId val="185061312"/>
      </c:barChart>
      <c:catAx>
        <c:axId val="172602880"/>
        <c:scaling>
          <c:orientation val="minMax"/>
        </c:scaling>
        <c:delete val="0"/>
        <c:axPos val="b"/>
        <c:majorTickMark val="out"/>
        <c:minorTickMark val="none"/>
        <c:tickLblPos val="nextTo"/>
        <c:crossAx val="185061312"/>
        <c:crosses val="autoZero"/>
        <c:auto val="1"/>
        <c:lblAlgn val="ctr"/>
        <c:lblOffset val="100"/>
        <c:noMultiLvlLbl val="0"/>
      </c:catAx>
      <c:valAx>
        <c:axId val="185061312"/>
        <c:scaling>
          <c:orientation val="minMax"/>
        </c:scaling>
        <c:delete val="0"/>
        <c:axPos val="l"/>
        <c:majorGridlines/>
        <c:numFmt formatCode="#,##0" sourceLinked="1"/>
        <c:majorTickMark val="out"/>
        <c:minorTickMark val="none"/>
        <c:tickLblPos val="nextTo"/>
        <c:crossAx val="172602880"/>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User</c:v>
          </c:tx>
          <c:spPr>
            <a:solidFill>
              <a:schemeClr val="tx2">
                <a:lumMod val="60000"/>
                <a:lumOff val="40000"/>
              </a:schemeClr>
            </a:solidFill>
          </c:spPr>
          <c:invertIfNegative val="0"/>
          <c:cat>
            <c:strRef>
              <c:f>'Possible+'!$J$260:$P$260</c:f>
              <c:strCache>
                <c:ptCount val="7"/>
                <c:pt idx="0">
                  <c:v>Q1 2022</c:v>
                </c:pt>
                <c:pt idx="1">
                  <c:v>Q2 2022</c:v>
                </c:pt>
                <c:pt idx="2">
                  <c:v>Q3 2022</c:v>
                </c:pt>
                <c:pt idx="3">
                  <c:v>Q4 2022</c:v>
                </c:pt>
                <c:pt idx="4">
                  <c:v>2023</c:v>
                </c:pt>
                <c:pt idx="5">
                  <c:v>2024</c:v>
                </c:pt>
                <c:pt idx="6">
                  <c:v>2025</c:v>
                </c:pt>
              </c:strCache>
            </c:strRef>
          </c:cat>
          <c:val>
            <c:numRef>
              <c:f>('Possible+'!$P$18:$S$18,'Possible+'!$V$18:$X$18)</c:f>
              <c:numCache>
                <c:formatCode>#,##0</c:formatCode>
                <c:ptCount val="7"/>
                <c:pt idx="0">
                  <c:v>3321051.3396630706</c:v>
                </c:pt>
                <c:pt idx="1">
                  <c:v>6624243.692313876</c:v>
                </c:pt>
                <c:pt idx="2">
                  <c:v>13527123.917575652</c:v>
                </c:pt>
                <c:pt idx="3">
                  <c:v>28189692.922394492</c:v>
                </c:pt>
                <c:pt idx="4">
                  <c:v>86319407.70113638</c:v>
                </c:pt>
                <c:pt idx="5">
                  <c:v>217004763.97413164</c:v>
                </c:pt>
                <c:pt idx="6">
                  <c:v>401646124.40556324</c:v>
                </c:pt>
              </c:numCache>
            </c:numRef>
          </c:val>
        </c:ser>
        <c:ser>
          <c:idx val="1"/>
          <c:order val="1"/>
          <c:tx>
            <c:v>Income</c:v>
          </c:tx>
          <c:spPr>
            <a:solidFill>
              <a:srgbClr val="6DC71B"/>
            </a:solidFill>
          </c:spPr>
          <c:invertIfNegative val="0"/>
          <c:cat>
            <c:strRef>
              <c:f>'Possible+'!$J$260:$P$260</c:f>
              <c:strCache>
                <c:ptCount val="7"/>
                <c:pt idx="0">
                  <c:v>Q1 2022</c:v>
                </c:pt>
                <c:pt idx="1">
                  <c:v>Q2 2022</c:v>
                </c:pt>
                <c:pt idx="2">
                  <c:v>Q3 2022</c:v>
                </c:pt>
                <c:pt idx="3">
                  <c:v>Q4 2022</c:v>
                </c:pt>
                <c:pt idx="4">
                  <c:v>2023</c:v>
                </c:pt>
                <c:pt idx="5">
                  <c:v>2024</c:v>
                </c:pt>
                <c:pt idx="6">
                  <c:v>2025</c:v>
                </c:pt>
              </c:strCache>
            </c:strRef>
          </c:cat>
          <c:val>
            <c:numRef>
              <c:f>('Possible+'!$P$30:$S$30,'Possible+'!$V$30:$X$30)</c:f>
              <c:numCache>
                <c:formatCode>#,##0\ "€"</c:formatCode>
                <c:ptCount val="7"/>
                <c:pt idx="0">
                  <c:v>24453538.025764115</c:v>
                </c:pt>
                <c:pt idx="1">
                  <c:v>56157370.622354478</c:v>
                </c:pt>
                <c:pt idx="2">
                  <c:v>129118338.17800757</c:v>
                </c:pt>
                <c:pt idx="3">
                  <c:v>298963145.45944554</c:v>
                </c:pt>
                <c:pt idx="4">
                  <c:v>3600166123.6038103</c:v>
                </c:pt>
                <c:pt idx="5">
                  <c:v>11174462484.516878</c:v>
                </c:pt>
                <c:pt idx="6">
                  <c:v>26131813525.158314</c:v>
                </c:pt>
              </c:numCache>
            </c:numRef>
          </c:val>
        </c:ser>
        <c:ser>
          <c:idx val="2"/>
          <c:order val="2"/>
          <c:tx>
            <c:v>Expenses</c:v>
          </c:tx>
          <c:spPr>
            <a:solidFill>
              <a:srgbClr val="FF0000"/>
            </a:solidFill>
          </c:spPr>
          <c:invertIfNegative val="0"/>
          <c:cat>
            <c:strRef>
              <c:f>'Possible+'!$J$260:$P$260</c:f>
              <c:strCache>
                <c:ptCount val="7"/>
                <c:pt idx="0">
                  <c:v>Q1 2022</c:v>
                </c:pt>
                <c:pt idx="1">
                  <c:v>Q2 2022</c:v>
                </c:pt>
                <c:pt idx="2">
                  <c:v>Q3 2022</c:v>
                </c:pt>
                <c:pt idx="3">
                  <c:v>Q4 2022</c:v>
                </c:pt>
                <c:pt idx="4">
                  <c:v>2023</c:v>
                </c:pt>
                <c:pt idx="5">
                  <c:v>2024</c:v>
                </c:pt>
                <c:pt idx="6">
                  <c:v>2025</c:v>
                </c:pt>
              </c:strCache>
            </c:strRef>
          </c:cat>
          <c:val>
            <c:numRef>
              <c:f>('Possible+'!$P$47:$S$47,'Possible+'!$V$47:$X$47)</c:f>
              <c:numCache>
                <c:formatCode>#,##0\ "€"</c:formatCode>
                <c:ptCount val="7"/>
                <c:pt idx="0">
                  <c:v>15637515.660253573</c:v>
                </c:pt>
                <c:pt idx="1">
                  <c:v>33986729.180921242</c:v>
                </c:pt>
                <c:pt idx="2">
                  <c:v>71549712.925709441</c:v>
                </c:pt>
                <c:pt idx="3">
                  <c:v>141409424.51828164</c:v>
                </c:pt>
                <c:pt idx="4">
                  <c:v>2130759440.802325</c:v>
                </c:pt>
                <c:pt idx="5">
                  <c:v>4752232916.3721476</c:v>
                </c:pt>
                <c:pt idx="6">
                  <c:v>10201065929.766993</c:v>
                </c:pt>
              </c:numCache>
            </c:numRef>
          </c:val>
        </c:ser>
        <c:ser>
          <c:idx val="3"/>
          <c:order val="3"/>
          <c:tx>
            <c:v>Result</c:v>
          </c:tx>
          <c:spPr>
            <a:solidFill>
              <a:srgbClr val="FFC000"/>
            </a:solidFill>
          </c:spPr>
          <c:invertIfNegative val="0"/>
          <c:cat>
            <c:strRef>
              <c:f>'Possible+'!$J$260:$P$260</c:f>
              <c:strCache>
                <c:ptCount val="7"/>
                <c:pt idx="0">
                  <c:v>Q1 2022</c:v>
                </c:pt>
                <c:pt idx="1">
                  <c:v>Q2 2022</c:v>
                </c:pt>
                <c:pt idx="2">
                  <c:v>Q3 2022</c:v>
                </c:pt>
                <c:pt idx="3">
                  <c:v>Q4 2022</c:v>
                </c:pt>
                <c:pt idx="4">
                  <c:v>2023</c:v>
                </c:pt>
                <c:pt idx="5">
                  <c:v>2024</c:v>
                </c:pt>
                <c:pt idx="6">
                  <c:v>2025</c:v>
                </c:pt>
              </c:strCache>
            </c:strRef>
          </c:cat>
          <c:val>
            <c:numRef>
              <c:f>('Possible+'!$P$49:$S$49,'Possible+'!$V$49:$X$49)</c:f>
              <c:numCache>
                <c:formatCode>#,##0\ "€"</c:formatCode>
                <c:ptCount val="7"/>
                <c:pt idx="0">
                  <c:v>8816022.3655105419</c:v>
                </c:pt>
                <c:pt idx="1">
                  <c:v>22170641.441433236</c:v>
                </c:pt>
                <c:pt idx="2">
                  <c:v>57568625.252298132</c:v>
                </c:pt>
                <c:pt idx="3">
                  <c:v>157553720.9411639</c:v>
                </c:pt>
                <c:pt idx="4">
                  <c:v>1469406682.8014853</c:v>
                </c:pt>
                <c:pt idx="5">
                  <c:v>6422229568.1447306</c:v>
                </c:pt>
                <c:pt idx="6">
                  <c:v>15930747595.391321</c:v>
                </c:pt>
              </c:numCache>
            </c:numRef>
          </c:val>
        </c:ser>
        <c:dLbls>
          <c:showLegendKey val="0"/>
          <c:showVal val="0"/>
          <c:showCatName val="0"/>
          <c:showSerName val="0"/>
          <c:showPercent val="0"/>
          <c:showBubbleSize val="0"/>
        </c:dLbls>
        <c:gapWidth val="150"/>
        <c:axId val="172603904"/>
        <c:axId val="211920576"/>
      </c:barChart>
      <c:catAx>
        <c:axId val="172603904"/>
        <c:scaling>
          <c:orientation val="minMax"/>
        </c:scaling>
        <c:delete val="0"/>
        <c:axPos val="b"/>
        <c:majorTickMark val="out"/>
        <c:minorTickMark val="none"/>
        <c:tickLblPos val="nextTo"/>
        <c:crossAx val="211920576"/>
        <c:crosses val="autoZero"/>
        <c:auto val="1"/>
        <c:lblAlgn val="ctr"/>
        <c:lblOffset val="100"/>
        <c:noMultiLvlLbl val="0"/>
      </c:catAx>
      <c:valAx>
        <c:axId val="211920576"/>
        <c:scaling>
          <c:orientation val="minMax"/>
        </c:scaling>
        <c:delete val="0"/>
        <c:axPos val="l"/>
        <c:majorGridlines/>
        <c:numFmt formatCode="#,##0" sourceLinked="1"/>
        <c:majorTickMark val="out"/>
        <c:minorTickMark val="none"/>
        <c:tickLblPos val="nextTo"/>
        <c:crossAx val="172603904"/>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Networks'!$C$4:$C$20</c:f>
              <c:numCache>
                <c:formatCode>General</c:formatCode>
                <c:ptCount val="17"/>
                <c:pt idx="0">
                  <c:v>0</c:v>
                </c:pt>
                <c:pt idx="1">
                  <c:v>1</c:v>
                </c:pt>
                <c:pt idx="2">
                  <c:v>6</c:v>
                </c:pt>
                <c:pt idx="3">
                  <c:v>12</c:v>
                </c:pt>
                <c:pt idx="4">
                  <c:v>58</c:v>
                </c:pt>
                <c:pt idx="5">
                  <c:v>145</c:v>
                </c:pt>
                <c:pt idx="6">
                  <c:v>360</c:v>
                </c:pt>
                <c:pt idx="7">
                  <c:v>608</c:v>
                </c:pt>
                <c:pt idx="8">
                  <c:v>845</c:v>
                </c:pt>
                <c:pt idx="9">
                  <c:v>1056</c:v>
                </c:pt>
                <c:pt idx="10">
                  <c:v>1230</c:v>
                </c:pt>
                <c:pt idx="11">
                  <c:v>1393</c:v>
                </c:pt>
                <c:pt idx="12">
                  <c:v>1591</c:v>
                </c:pt>
                <c:pt idx="13">
                  <c:v>1860</c:v>
                </c:pt>
                <c:pt idx="14">
                  <c:v>2072</c:v>
                </c:pt>
                <c:pt idx="15">
                  <c:v>2250</c:v>
                </c:pt>
                <c:pt idx="16">
                  <c:v>2450</c:v>
                </c:pt>
              </c:numCache>
            </c:numRef>
          </c:val>
          <c:smooth val="0"/>
        </c:ser>
        <c:ser>
          <c:idx val="1"/>
          <c:order val="1"/>
          <c:tx>
            <c:v>WhatsApp</c:v>
          </c:tx>
          <c:spPr>
            <a:ln>
              <a:solidFill>
                <a:srgbClr val="7030A0"/>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Networks'!$E$4:$E$18</c:f>
              <c:numCache>
                <c:formatCode>General</c:formatCode>
                <c:ptCount val="15"/>
                <c:pt idx="0">
                  <c:v>0</c:v>
                </c:pt>
                <c:pt idx="1">
                  <c:v>0</c:v>
                </c:pt>
                <c:pt idx="2">
                  <c:v>0</c:v>
                </c:pt>
                <c:pt idx="3">
                  <c:v>0</c:v>
                </c:pt>
                <c:pt idx="4">
                  <c:v>0</c:v>
                </c:pt>
                <c:pt idx="5">
                  <c:v>0.01</c:v>
                </c:pt>
                <c:pt idx="6">
                  <c:v>0.25</c:v>
                </c:pt>
                <c:pt idx="7">
                  <c:v>5</c:v>
                </c:pt>
                <c:pt idx="8">
                  <c:v>35</c:v>
                </c:pt>
                <c:pt idx="9">
                  <c:v>150</c:v>
                </c:pt>
                <c:pt idx="10">
                  <c:v>400</c:v>
                </c:pt>
                <c:pt idx="11">
                  <c:v>600</c:v>
                </c:pt>
                <c:pt idx="12">
                  <c:v>900</c:v>
                </c:pt>
                <c:pt idx="13">
                  <c:v>1000</c:v>
                </c:pt>
                <c:pt idx="14">
                  <c:v>1500</c:v>
                </c:pt>
              </c:numCache>
            </c:numRef>
          </c:val>
          <c:smooth val="0"/>
        </c:ser>
        <c:ser>
          <c:idx val="2"/>
          <c:order val="2"/>
          <c:tx>
            <c:v>WeChat</c:v>
          </c:tx>
          <c:spPr>
            <a:ln>
              <a:solidFill>
                <a:srgbClr val="FF0000"/>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Networks'!$G$4:$G$20</c:f>
              <c:numCache>
                <c:formatCode>General</c:formatCode>
                <c:ptCount val="17"/>
                <c:pt idx="0">
                  <c:v>0</c:v>
                </c:pt>
                <c:pt idx="1">
                  <c:v>0</c:v>
                </c:pt>
                <c:pt idx="2">
                  <c:v>0</c:v>
                </c:pt>
                <c:pt idx="3">
                  <c:v>0</c:v>
                </c:pt>
                <c:pt idx="4">
                  <c:v>0</c:v>
                </c:pt>
                <c:pt idx="5">
                  <c:v>0</c:v>
                </c:pt>
                <c:pt idx="6">
                  <c:v>0</c:v>
                </c:pt>
                <c:pt idx="7">
                  <c:v>0</c:v>
                </c:pt>
                <c:pt idx="8">
                  <c:v>50</c:v>
                </c:pt>
                <c:pt idx="9">
                  <c:v>160</c:v>
                </c:pt>
                <c:pt idx="10">
                  <c:v>355</c:v>
                </c:pt>
                <c:pt idx="11">
                  <c:v>500</c:v>
                </c:pt>
                <c:pt idx="12">
                  <c:v>697</c:v>
                </c:pt>
                <c:pt idx="13">
                  <c:v>889</c:v>
                </c:pt>
                <c:pt idx="14">
                  <c:v>980</c:v>
                </c:pt>
                <c:pt idx="15">
                  <c:v>1100</c:v>
                </c:pt>
                <c:pt idx="16">
                  <c:v>1160</c:v>
                </c:pt>
              </c:numCache>
            </c:numRef>
          </c:val>
          <c:smooth val="0"/>
        </c:ser>
        <c:ser>
          <c:idx val="3"/>
          <c:order val="3"/>
          <c:tx>
            <c:v>Instagram</c:v>
          </c:tx>
          <c:spPr>
            <a:ln>
              <a:solidFill>
                <a:srgbClr val="FFC000"/>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Networks'!$I$4:$I$19</c:f>
              <c:numCache>
                <c:formatCode>General</c:formatCode>
                <c:ptCount val="16"/>
                <c:pt idx="0">
                  <c:v>0</c:v>
                </c:pt>
                <c:pt idx="1">
                  <c:v>0</c:v>
                </c:pt>
                <c:pt idx="2">
                  <c:v>0</c:v>
                </c:pt>
                <c:pt idx="3">
                  <c:v>0</c:v>
                </c:pt>
                <c:pt idx="4">
                  <c:v>0</c:v>
                </c:pt>
                <c:pt idx="5">
                  <c:v>0</c:v>
                </c:pt>
                <c:pt idx="6">
                  <c:v>0</c:v>
                </c:pt>
                <c:pt idx="7">
                  <c:v>1</c:v>
                </c:pt>
                <c:pt idx="8">
                  <c:v>10</c:v>
                </c:pt>
                <c:pt idx="9">
                  <c:v>80</c:v>
                </c:pt>
                <c:pt idx="10">
                  <c:v>150</c:v>
                </c:pt>
                <c:pt idx="11">
                  <c:v>300</c:v>
                </c:pt>
                <c:pt idx="12">
                  <c:v>400</c:v>
                </c:pt>
                <c:pt idx="13">
                  <c:v>600</c:v>
                </c:pt>
                <c:pt idx="14">
                  <c:v>800</c:v>
                </c:pt>
                <c:pt idx="15">
                  <c:v>1000</c:v>
                </c:pt>
              </c:numCache>
            </c:numRef>
          </c:val>
          <c:smooth val="0"/>
        </c:ser>
        <c:ser>
          <c:idx val="4"/>
          <c:order val="4"/>
          <c:tx>
            <c:v>LinkedIn</c:v>
          </c:tx>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Networks'!$M$4:$M$17</c:f>
              <c:numCache>
                <c:formatCode>General</c:formatCode>
                <c:ptCount val="14"/>
                <c:pt idx="0">
                  <c:v>0</c:v>
                </c:pt>
                <c:pt idx="1">
                  <c:v>0</c:v>
                </c:pt>
                <c:pt idx="2">
                  <c:v>0</c:v>
                </c:pt>
                <c:pt idx="3">
                  <c:v>1.6E-2</c:v>
                </c:pt>
                <c:pt idx="4">
                  <c:v>0.70199999999999996</c:v>
                </c:pt>
                <c:pt idx="5">
                  <c:v>4</c:v>
                </c:pt>
                <c:pt idx="6">
                  <c:v>18</c:v>
                </c:pt>
                <c:pt idx="7">
                  <c:v>54</c:v>
                </c:pt>
                <c:pt idx="8">
                  <c:v>117</c:v>
                </c:pt>
                <c:pt idx="9">
                  <c:v>185</c:v>
                </c:pt>
                <c:pt idx="10">
                  <c:v>241</c:v>
                </c:pt>
                <c:pt idx="11">
                  <c:v>288</c:v>
                </c:pt>
                <c:pt idx="12">
                  <c:v>305</c:v>
                </c:pt>
                <c:pt idx="13">
                  <c:v>319</c:v>
                </c:pt>
              </c:numCache>
            </c:numRef>
          </c:val>
          <c:smooth val="0"/>
        </c:ser>
        <c:ser>
          <c:idx val="6"/>
          <c:order val="6"/>
          <c:tx>
            <c:v>connect (Realistic)</c:v>
          </c:tx>
          <c:spPr>
            <a:ln>
              <a:solidFill>
                <a:srgbClr val="6DC71B"/>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Networks'!$Q$4:$Q$26</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formatCode="#,##0.00">
                  <c:v>5.5007231534220366E-2</c:v>
                </c:pt>
                <c:pt idx="18" formatCode="#,##0.00">
                  <c:v>0.26211723812496734</c:v>
                </c:pt>
                <c:pt idx="19" formatCode="#,##0.00">
                  <c:v>2.0163530394777931</c:v>
                </c:pt>
                <c:pt idx="20" formatCode="#,##0.00">
                  <c:v>5.8912056794336474</c:v>
                </c:pt>
                <c:pt idx="21" formatCode="#,##0.00">
                  <c:v>14.010941670429698</c:v>
                </c:pt>
                <c:pt idx="22" formatCode="#,##0.00">
                  <c:v>25.294677306404136</c:v>
                </c:pt>
              </c:numCache>
            </c:numRef>
          </c:val>
          <c:smooth val="0"/>
        </c:ser>
        <c:ser>
          <c:idx val="7"/>
          <c:order val="7"/>
          <c:tx>
            <c:v>connect (You)</c:v>
          </c:tx>
          <c:spPr>
            <a:ln>
              <a:solidFill>
                <a:schemeClr val="accent6">
                  <a:lumMod val="75000"/>
                </a:schemeClr>
              </a:solidFill>
            </a:ln>
          </c:spPr>
          <c:marker>
            <c:symbol val="none"/>
          </c:marker>
          <c:val>
            <c:numRef>
              <c:f>'Comparision successful Networks'!$O$4:$O$26</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formatCode="#,##0.00">
                  <c:v>2.6787965261703416E-2</c:v>
                </c:pt>
                <c:pt idx="18" formatCode="#,##0.00">
                  <c:v>3.8454597338960603E-2</c:v>
                </c:pt>
                <c:pt idx="19" formatCode="#,##0.00">
                  <c:v>3.8454597338960603E-2</c:v>
                </c:pt>
                <c:pt idx="20" formatCode="#,##0.00">
                  <c:v>3.8454597338960603E-2</c:v>
                </c:pt>
                <c:pt idx="21" formatCode="#,##0.00">
                  <c:v>3.8454597338960603E-2</c:v>
                </c:pt>
                <c:pt idx="22" formatCode="#,##0.00">
                  <c:v>3.8454597338960603E-2</c:v>
                </c:pt>
              </c:numCache>
            </c:numRef>
          </c:val>
          <c:smooth val="0"/>
        </c:ser>
        <c:dLbls>
          <c:showLegendKey val="0"/>
          <c:showVal val="0"/>
          <c:showCatName val="0"/>
          <c:showSerName val="0"/>
          <c:showPercent val="0"/>
          <c:showBubbleSize val="0"/>
        </c:dLbls>
        <c:marker val="1"/>
        <c:smooth val="0"/>
        <c:axId val="172744704"/>
        <c:axId val="72180864"/>
      </c:lineChart>
      <c:catAx>
        <c:axId val="172744704"/>
        <c:scaling>
          <c:orientation val="minMax"/>
        </c:scaling>
        <c:delete val="0"/>
        <c:axPos val="b"/>
        <c:numFmt formatCode="@" sourceLinked="0"/>
        <c:majorTickMark val="out"/>
        <c:minorTickMark val="none"/>
        <c:tickLblPos val="nextTo"/>
        <c:crossAx val="72180864"/>
        <c:crosses val="autoZero"/>
        <c:auto val="1"/>
        <c:lblAlgn val="ctr"/>
        <c:lblOffset val="100"/>
        <c:noMultiLvlLbl val="0"/>
      </c:catAx>
      <c:valAx>
        <c:axId val="72180864"/>
        <c:scaling>
          <c:orientation val="minMax"/>
        </c:scaling>
        <c:delete val="0"/>
        <c:axPos val="l"/>
        <c:majorGridlines/>
        <c:numFmt formatCode="General" sourceLinked="1"/>
        <c:majorTickMark val="out"/>
        <c:minorTickMark val="none"/>
        <c:tickLblPos val="nextTo"/>
        <c:crossAx val="172744704"/>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val>
            <c:numRef>
              <c:f>'Comparision successful Networks'!$C$5:$C$18</c:f>
              <c:numCache>
                <c:formatCode>General</c:formatCode>
                <c:ptCount val="14"/>
                <c:pt idx="0">
                  <c:v>1</c:v>
                </c:pt>
                <c:pt idx="1">
                  <c:v>6</c:v>
                </c:pt>
                <c:pt idx="2">
                  <c:v>12</c:v>
                </c:pt>
                <c:pt idx="3">
                  <c:v>58</c:v>
                </c:pt>
                <c:pt idx="4">
                  <c:v>145</c:v>
                </c:pt>
                <c:pt idx="5">
                  <c:v>360</c:v>
                </c:pt>
                <c:pt idx="6">
                  <c:v>608</c:v>
                </c:pt>
                <c:pt idx="7">
                  <c:v>845</c:v>
                </c:pt>
                <c:pt idx="8">
                  <c:v>1056</c:v>
                </c:pt>
                <c:pt idx="9">
                  <c:v>1230</c:v>
                </c:pt>
                <c:pt idx="10">
                  <c:v>1393</c:v>
                </c:pt>
                <c:pt idx="11">
                  <c:v>1591</c:v>
                </c:pt>
                <c:pt idx="12">
                  <c:v>1860</c:v>
                </c:pt>
                <c:pt idx="13">
                  <c:v>2072</c:v>
                </c:pt>
              </c:numCache>
            </c:numRef>
          </c:val>
          <c:smooth val="0"/>
        </c:ser>
        <c:ser>
          <c:idx val="1"/>
          <c:order val="1"/>
          <c:tx>
            <c:v>WhatsApp</c:v>
          </c:tx>
          <c:spPr>
            <a:ln>
              <a:solidFill>
                <a:srgbClr val="7030A0"/>
              </a:solidFill>
            </a:ln>
          </c:spPr>
          <c:marker>
            <c:symbol val="none"/>
          </c:marker>
          <c:val>
            <c:numRef>
              <c:f>'Comparision successful Networks'!$E$9:$E$18</c:f>
              <c:numCache>
                <c:formatCode>General</c:formatCode>
                <c:ptCount val="10"/>
                <c:pt idx="0">
                  <c:v>0.01</c:v>
                </c:pt>
                <c:pt idx="1">
                  <c:v>0.25</c:v>
                </c:pt>
                <c:pt idx="2">
                  <c:v>5</c:v>
                </c:pt>
                <c:pt idx="3">
                  <c:v>35</c:v>
                </c:pt>
                <c:pt idx="4">
                  <c:v>150</c:v>
                </c:pt>
                <c:pt idx="5">
                  <c:v>400</c:v>
                </c:pt>
                <c:pt idx="6">
                  <c:v>600</c:v>
                </c:pt>
                <c:pt idx="7">
                  <c:v>900</c:v>
                </c:pt>
                <c:pt idx="8">
                  <c:v>1000</c:v>
                </c:pt>
                <c:pt idx="9">
                  <c:v>1500</c:v>
                </c:pt>
              </c:numCache>
            </c:numRef>
          </c:val>
          <c:smooth val="0"/>
        </c:ser>
        <c:ser>
          <c:idx val="2"/>
          <c:order val="2"/>
          <c:tx>
            <c:v>WeChat</c:v>
          </c:tx>
          <c:spPr>
            <a:ln>
              <a:solidFill>
                <a:srgbClr val="FF0000"/>
              </a:solidFill>
            </a:ln>
          </c:spPr>
          <c:marker>
            <c:symbol val="none"/>
          </c:marker>
          <c:val>
            <c:numRef>
              <c:f>'Comparision successful Networks'!$G$12:$G$18</c:f>
              <c:numCache>
                <c:formatCode>General</c:formatCode>
                <c:ptCount val="7"/>
                <c:pt idx="0">
                  <c:v>50</c:v>
                </c:pt>
                <c:pt idx="1">
                  <c:v>160</c:v>
                </c:pt>
                <c:pt idx="2">
                  <c:v>355</c:v>
                </c:pt>
                <c:pt idx="3">
                  <c:v>500</c:v>
                </c:pt>
                <c:pt idx="4">
                  <c:v>697</c:v>
                </c:pt>
                <c:pt idx="5">
                  <c:v>889</c:v>
                </c:pt>
                <c:pt idx="6">
                  <c:v>980</c:v>
                </c:pt>
              </c:numCache>
            </c:numRef>
          </c:val>
          <c:smooth val="0"/>
        </c:ser>
        <c:ser>
          <c:idx val="3"/>
          <c:order val="3"/>
          <c:tx>
            <c:v>Instagram</c:v>
          </c:tx>
          <c:spPr>
            <a:ln>
              <a:solidFill>
                <a:srgbClr val="FFC000"/>
              </a:solidFill>
            </a:ln>
          </c:spPr>
          <c:marker>
            <c:symbol val="none"/>
          </c:marker>
          <c:val>
            <c:numRef>
              <c:f>'Comparision successful Networks'!$I$11:$I$18</c:f>
              <c:numCache>
                <c:formatCode>General</c:formatCode>
                <c:ptCount val="8"/>
                <c:pt idx="0">
                  <c:v>1</c:v>
                </c:pt>
                <c:pt idx="1">
                  <c:v>10</c:v>
                </c:pt>
                <c:pt idx="2">
                  <c:v>80</c:v>
                </c:pt>
                <c:pt idx="3">
                  <c:v>150</c:v>
                </c:pt>
                <c:pt idx="4">
                  <c:v>300</c:v>
                </c:pt>
                <c:pt idx="5">
                  <c:v>400</c:v>
                </c:pt>
                <c:pt idx="6">
                  <c:v>600</c:v>
                </c:pt>
                <c:pt idx="7">
                  <c:v>800</c:v>
                </c:pt>
              </c:numCache>
            </c:numRef>
          </c:val>
          <c:smooth val="0"/>
        </c:ser>
        <c:ser>
          <c:idx val="4"/>
          <c:order val="4"/>
          <c:tx>
            <c:v>LinkedIn</c:v>
          </c:tx>
          <c:spPr>
            <a:ln>
              <a:solidFill>
                <a:schemeClr val="accent5">
                  <a:lumMod val="75000"/>
                </a:schemeClr>
              </a:solidFill>
            </a:ln>
          </c:spPr>
          <c:marker>
            <c:symbol val="none"/>
          </c:marker>
          <c:val>
            <c:numRef>
              <c:f>'Comparision successful Networks'!$K$4:$K$16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val>
            <c:numRef>
              <c:f>'Comparision successful Networks'!$M$7:$M$17</c:f>
              <c:numCache>
                <c:formatCode>General</c:formatCode>
                <c:ptCount val="11"/>
                <c:pt idx="0">
                  <c:v>1.6E-2</c:v>
                </c:pt>
                <c:pt idx="1">
                  <c:v>0.70199999999999996</c:v>
                </c:pt>
                <c:pt idx="2">
                  <c:v>4</c:v>
                </c:pt>
                <c:pt idx="3">
                  <c:v>18</c:v>
                </c:pt>
                <c:pt idx="4">
                  <c:v>54</c:v>
                </c:pt>
                <c:pt idx="5">
                  <c:v>117</c:v>
                </c:pt>
                <c:pt idx="6">
                  <c:v>185</c:v>
                </c:pt>
                <c:pt idx="7">
                  <c:v>241</c:v>
                </c:pt>
                <c:pt idx="8">
                  <c:v>288</c:v>
                </c:pt>
                <c:pt idx="9">
                  <c:v>305</c:v>
                </c:pt>
                <c:pt idx="10">
                  <c:v>319</c:v>
                </c:pt>
              </c:numCache>
            </c:numRef>
          </c:val>
          <c:smooth val="0"/>
        </c:ser>
        <c:ser>
          <c:idx val="6"/>
          <c:order val="6"/>
          <c:tx>
            <c:v>connect (Wir)</c:v>
          </c:tx>
          <c:spPr>
            <a:ln>
              <a:solidFill>
                <a:srgbClr val="6DC71B"/>
              </a:solidFill>
            </a:ln>
          </c:spPr>
          <c:marker>
            <c:symbol val="none"/>
          </c:marker>
          <c:val>
            <c:numRef>
              <c:f>'Comparision successful Networks'!$Q$21:$Q$26</c:f>
              <c:numCache>
                <c:formatCode>#,##0.00</c:formatCode>
                <c:ptCount val="6"/>
                <c:pt idx="0">
                  <c:v>5.5007231534220366E-2</c:v>
                </c:pt>
                <c:pt idx="1">
                  <c:v>0.26211723812496734</c:v>
                </c:pt>
                <c:pt idx="2">
                  <c:v>2.0163530394777931</c:v>
                </c:pt>
                <c:pt idx="3">
                  <c:v>5.8912056794336474</c:v>
                </c:pt>
                <c:pt idx="4">
                  <c:v>14.010941670429698</c:v>
                </c:pt>
                <c:pt idx="5">
                  <c:v>25.294677306404136</c:v>
                </c:pt>
              </c:numCache>
            </c:numRef>
          </c:val>
          <c:smooth val="0"/>
        </c:ser>
        <c:ser>
          <c:idx val="7"/>
          <c:order val="7"/>
          <c:tx>
            <c:v>connect (Sie)</c:v>
          </c:tx>
          <c:spPr>
            <a:ln>
              <a:solidFill>
                <a:schemeClr val="accent6">
                  <a:lumMod val="75000"/>
                </a:schemeClr>
              </a:solidFill>
            </a:ln>
          </c:spPr>
          <c:marker>
            <c:symbol val="none"/>
          </c:marker>
          <c:val>
            <c:numRef>
              <c:f>'Comparision successful Networks'!$O$21:$O$26</c:f>
              <c:numCache>
                <c:formatCode>#,##0.00</c:formatCode>
                <c:ptCount val="6"/>
                <c:pt idx="0">
                  <c:v>2.6787965261703416E-2</c:v>
                </c:pt>
                <c:pt idx="1">
                  <c:v>3.8454597338960603E-2</c:v>
                </c:pt>
                <c:pt idx="2">
                  <c:v>3.8454597338960603E-2</c:v>
                </c:pt>
                <c:pt idx="3">
                  <c:v>3.8454597338960603E-2</c:v>
                </c:pt>
                <c:pt idx="4">
                  <c:v>3.8454597338960603E-2</c:v>
                </c:pt>
                <c:pt idx="5">
                  <c:v>3.8454597338960603E-2</c:v>
                </c:pt>
              </c:numCache>
            </c:numRef>
          </c:val>
          <c:smooth val="0"/>
        </c:ser>
        <c:dLbls>
          <c:showLegendKey val="0"/>
          <c:showVal val="0"/>
          <c:showCatName val="0"/>
          <c:showSerName val="0"/>
          <c:showPercent val="0"/>
          <c:showBubbleSize val="0"/>
        </c:dLbls>
        <c:marker val="1"/>
        <c:smooth val="0"/>
        <c:axId val="169254400"/>
        <c:axId val="72182016"/>
      </c:lineChart>
      <c:catAx>
        <c:axId val="169254400"/>
        <c:scaling>
          <c:orientation val="minMax"/>
        </c:scaling>
        <c:delete val="0"/>
        <c:axPos val="b"/>
        <c:numFmt formatCode="General" sourceLinked="1"/>
        <c:majorTickMark val="out"/>
        <c:minorTickMark val="none"/>
        <c:tickLblPos val="nextTo"/>
        <c:crossAx val="72182016"/>
        <c:crosses val="autoZero"/>
        <c:auto val="1"/>
        <c:lblAlgn val="ctr"/>
        <c:lblOffset val="100"/>
        <c:noMultiLvlLbl val="0"/>
      </c:catAx>
      <c:valAx>
        <c:axId val="72182016"/>
        <c:scaling>
          <c:orientation val="minMax"/>
        </c:scaling>
        <c:delete val="0"/>
        <c:axPos val="l"/>
        <c:majorGridlines/>
        <c:numFmt formatCode="General" sourceLinked="1"/>
        <c:majorTickMark val="out"/>
        <c:minorTickMark val="none"/>
        <c:tickLblPos val="nextTo"/>
        <c:crossAx val="169254400"/>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val>
            <c:numRef>
              <c:f>'Comparision successful Networks'!$C$5:$C$20</c:f>
              <c:numCache>
                <c:formatCode>General</c:formatCode>
                <c:ptCount val="16"/>
                <c:pt idx="0">
                  <c:v>1</c:v>
                </c:pt>
                <c:pt idx="1">
                  <c:v>6</c:v>
                </c:pt>
                <c:pt idx="2">
                  <c:v>12</c:v>
                </c:pt>
                <c:pt idx="3">
                  <c:v>58</c:v>
                </c:pt>
                <c:pt idx="4">
                  <c:v>145</c:v>
                </c:pt>
                <c:pt idx="5">
                  <c:v>360</c:v>
                </c:pt>
                <c:pt idx="6">
                  <c:v>608</c:v>
                </c:pt>
                <c:pt idx="7">
                  <c:v>845</c:v>
                </c:pt>
                <c:pt idx="8">
                  <c:v>1056</c:v>
                </c:pt>
                <c:pt idx="9">
                  <c:v>1230</c:v>
                </c:pt>
                <c:pt idx="10">
                  <c:v>1393</c:v>
                </c:pt>
                <c:pt idx="11">
                  <c:v>1591</c:v>
                </c:pt>
                <c:pt idx="12">
                  <c:v>1860</c:v>
                </c:pt>
                <c:pt idx="13">
                  <c:v>2072</c:v>
                </c:pt>
                <c:pt idx="14">
                  <c:v>2250</c:v>
                </c:pt>
                <c:pt idx="15">
                  <c:v>2450</c:v>
                </c:pt>
              </c:numCache>
            </c:numRef>
          </c:val>
          <c:smooth val="0"/>
        </c:ser>
        <c:ser>
          <c:idx val="1"/>
          <c:order val="1"/>
          <c:tx>
            <c:v>WhatsApp</c:v>
          </c:tx>
          <c:spPr>
            <a:ln>
              <a:solidFill>
                <a:srgbClr val="7030A0"/>
              </a:solidFill>
            </a:ln>
          </c:spPr>
          <c:marker>
            <c:symbol val="none"/>
          </c:marker>
          <c:val>
            <c:numRef>
              <c:f>'Comparision successful Networks'!$E$9:$E$18</c:f>
              <c:numCache>
                <c:formatCode>General</c:formatCode>
                <c:ptCount val="10"/>
                <c:pt idx="0">
                  <c:v>0.01</c:v>
                </c:pt>
                <c:pt idx="1">
                  <c:v>0.25</c:v>
                </c:pt>
                <c:pt idx="2">
                  <c:v>5</c:v>
                </c:pt>
                <c:pt idx="3">
                  <c:v>35</c:v>
                </c:pt>
                <c:pt idx="4">
                  <c:v>150</c:v>
                </c:pt>
                <c:pt idx="5">
                  <c:v>400</c:v>
                </c:pt>
                <c:pt idx="6">
                  <c:v>600</c:v>
                </c:pt>
                <c:pt idx="7">
                  <c:v>900</c:v>
                </c:pt>
                <c:pt idx="8">
                  <c:v>1000</c:v>
                </c:pt>
                <c:pt idx="9">
                  <c:v>1500</c:v>
                </c:pt>
              </c:numCache>
            </c:numRef>
          </c:val>
          <c:smooth val="0"/>
        </c:ser>
        <c:ser>
          <c:idx val="2"/>
          <c:order val="2"/>
          <c:tx>
            <c:v>WeChat</c:v>
          </c:tx>
          <c:spPr>
            <a:ln>
              <a:solidFill>
                <a:srgbClr val="FF0000"/>
              </a:solidFill>
            </a:ln>
          </c:spPr>
          <c:marker>
            <c:symbol val="none"/>
          </c:marker>
          <c:val>
            <c:numRef>
              <c:f>'Comparision successful Networks'!$G$12:$G$20</c:f>
              <c:numCache>
                <c:formatCode>General</c:formatCode>
                <c:ptCount val="9"/>
                <c:pt idx="0">
                  <c:v>50</c:v>
                </c:pt>
                <c:pt idx="1">
                  <c:v>160</c:v>
                </c:pt>
                <c:pt idx="2">
                  <c:v>355</c:v>
                </c:pt>
                <c:pt idx="3">
                  <c:v>500</c:v>
                </c:pt>
                <c:pt idx="4">
                  <c:v>697</c:v>
                </c:pt>
                <c:pt idx="5">
                  <c:v>889</c:v>
                </c:pt>
                <c:pt idx="6">
                  <c:v>980</c:v>
                </c:pt>
                <c:pt idx="7">
                  <c:v>1100</c:v>
                </c:pt>
                <c:pt idx="8">
                  <c:v>1160</c:v>
                </c:pt>
              </c:numCache>
            </c:numRef>
          </c:val>
          <c:smooth val="0"/>
        </c:ser>
        <c:ser>
          <c:idx val="3"/>
          <c:order val="3"/>
          <c:tx>
            <c:v>Instagram</c:v>
          </c:tx>
          <c:spPr>
            <a:ln>
              <a:solidFill>
                <a:srgbClr val="FFC000"/>
              </a:solidFill>
            </a:ln>
          </c:spPr>
          <c:marker>
            <c:symbol val="none"/>
          </c:marker>
          <c:val>
            <c:numRef>
              <c:f>'Comparision successful Networks'!$I$11:$I$19</c:f>
              <c:numCache>
                <c:formatCode>General</c:formatCode>
                <c:ptCount val="9"/>
                <c:pt idx="0">
                  <c:v>1</c:v>
                </c:pt>
                <c:pt idx="1">
                  <c:v>10</c:v>
                </c:pt>
                <c:pt idx="2">
                  <c:v>80</c:v>
                </c:pt>
                <c:pt idx="3">
                  <c:v>150</c:v>
                </c:pt>
                <c:pt idx="4">
                  <c:v>300</c:v>
                </c:pt>
                <c:pt idx="5">
                  <c:v>400</c:v>
                </c:pt>
                <c:pt idx="6">
                  <c:v>600</c:v>
                </c:pt>
                <c:pt idx="7">
                  <c:v>800</c:v>
                </c:pt>
                <c:pt idx="8">
                  <c:v>1000</c:v>
                </c:pt>
              </c:numCache>
            </c:numRef>
          </c:val>
          <c:smooth val="0"/>
        </c:ser>
        <c:ser>
          <c:idx val="4"/>
          <c:order val="4"/>
          <c:tx>
            <c:v>LinkedIn</c:v>
          </c:tx>
          <c:spPr>
            <a:ln>
              <a:solidFill>
                <a:schemeClr val="accent5">
                  <a:lumMod val="75000"/>
                </a:schemeClr>
              </a:solidFill>
            </a:ln>
          </c:spPr>
          <c:marker>
            <c:symbol val="none"/>
          </c:marker>
          <c:val>
            <c:numRef>
              <c:f>'Comparision successful Networks'!$K$4:$K$16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val>
            <c:numRef>
              <c:f>'Comparision successful Networks'!$M$7:$M$17</c:f>
              <c:numCache>
                <c:formatCode>General</c:formatCode>
                <c:ptCount val="11"/>
                <c:pt idx="0">
                  <c:v>1.6E-2</c:v>
                </c:pt>
                <c:pt idx="1">
                  <c:v>0.70199999999999996</c:v>
                </c:pt>
                <c:pt idx="2">
                  <c:v>4</c:v>
                </c:pt>
                <c:pt idx="3">
                  <c:v>18</c:v>
                </c:pt>
                <c:pt idx="4">
                  <c:v>54</c:v>
                </c:pt>
                <c:pt idx="5">
                  <c:v>117</c:v>
                </c:pt>
                <c:pt idx="6">
                  <c:v>185</c:v>
                </c:pt>
                <c:pt idx="7">
                  <c:v>241</c:v>
                </c:pt>
                <c:pt idx="8">
                  <c:v>288</c:v>
                </c:pt>
                <c:pt idx="9">
                  <c:v>305</c:v>
                </c:pt>
                <c:pt idx="10">
                  <c:v>319</c:v>
                </c:pt>
              </c:numCache>
            </c:numRef>
          </c:val>
          <c:smooth val="0"/>
        </c:ser>
        <c:ser>
          <c:idx val="6"/>
          <c:order val="6"/>
          <c:tx>
            <c:v>connect (Realistic)</c:v>
          </c:tx>
          <c:spPr>
            <a:ln>
              <a:solidFill>
                <a:srgbClr val="6DC71B"/>
              </a:solidFill>
            </a:ln>
          </c:spPr>
          <c:marker>
            <c:symbol val="none"/>
          </c:marker>
          <c:val>
            <c:numRef>
              <c:f>'Comparision successful Networks'!$Q$21:$Q$26</c:f>
              <c:numCache>
                <c:formatCode>#,##0.00</c:formatCode>
                <c:ptCount val="6"/>
                <c:pt idx="0">
                  <c:v>5.5007231534220366E-2</c:v>
                </c:pt>
                <c:pt idx="1">
                  <c:v>0.26211723812496734</c:v>
                </c:pt>
                <c:pt idx="2">
                  <c:v>2.0163530394777931</c:v>
                </c:pt>
                <c:pt idx="3">
                  <c:v>5.8912056794336474</c:v>
                </c:pt>
                <c:pt idx="4">
                  <c:v>14.010941670429698</c:v>
                </c:pt>
                <c:pt idx="5">
                  <c:v>25.294677306404136</c:v>
                </c:pt>
              </c:numCache>
            </c:numRef>
          </c:val>
          <c:smooth val="0"/>
        </c:ser>
        <c:ser>
          <c:idx val="7"/>
          <c:order val="7"/>
          <c:tx>
            <c:v>connect (You)</c:v>
          </c:tx>
          <c:spPr>
            <a:ln>
              <a:solidFill>
                <a:schemeClr val="accent6">
                  <a:lumMod val="75000"/>
                </a:schemeClr>
              </a:solidFill>
            </a:ln>
          </c:spPr>
          <c:marker>
            <c:symbol val="none"/>
          </c:marker>
          <c:val>
            <c:numRef>
              <c:f>'Comparision successful Networks'!$O$21:$O$26</c:f>
              <c:numCache>
                <c:formatCode>#,##0.00</c:formatCode>
                <c:ptCount val="6"/>
                <c:pt idx="0">
                  <c:v>2.6787965261703416E-2</c:v>
                </c:pt>
                <c:pt idx="1">
                  <c:v>3.8454597338960603E-2</c:v>
                </c:pt>
                <c:pt idx="2">
                  <c:v>3.8454597338960603E-2</c:v>
                </c:pt>
                <c:pt idx="3">
                  <c:v>3.8454597338960603E-2</c:v>
                </c:pt>
                <c:pt idx="4">
                  <c:v>3.8454597338960603E-2</c:v>
                </c:pt>
                <c:pt idx="5">
                  <c:v>3.8454597338960603E-2</c:v>
                </c:pt>
              </c:numCache>
            </c:numRef>
          </c:val>
          <c:smooth val="0"/>
        </c:ser>
        <c:dLbls>
          <c:showLegendKey val="0"/>
          <c:showVal val="0"/>
          <c:showCatName val="0"/>
          <c:showSerName val="0"/>
          <c:showPercent val="0"/>
          <c:showBubbleSize val="0"/>
        </c:dLbls>
        <c:marker val="1"/>
        <c:smooth val="0"/>
        <c:axId val="172746752"/>
        <c:axId val="72182592"/>
      </c:lineChart>
      <c:catAx>
        <c:axId val="172746752"/>
        <c:scaling>
          <c:orientation val="minMax"/>
        </c:scaling>
        <c:delete val="0"/>
        <c:axPos val="b"/>
        <c:numFmt formatCode="General" sourceLinked="1"/>
        <c:majorTickMark val="out"/>
        <c:minorTickMark val="none"/>
        <c:tickLblPos val="nextTo"/>
        <c:crossAx val="72182592"/>
        <c:crosses val="autoZero"/>
        <c:auto val="1"/>
        <c:lblAlgn val="ctr"/>
        <c:lblOffset val="100"/>
        <c:noMultiLvlLbl val="0"/>
      </c:catAx>
      <c:valAx>
        <c:axId val="72182592"/>
        <c:scaling>
          <c:orientation val="minMax"/>
        </c:scaling>
        <c:delete val="0"/>
        <c:axPos val="l"/>
        <c:majorGridlines/>
        <c:numFmt formatCode="General" sourceLinked="1"/>
        <c:majorTickMark val="out"/>
        <c:minorTickMark val="none"/>
        <c:tickLblPos val="nextTo"/>
        <c:crossAx val="172746752"/>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val>
            <c:numRef>
              <c:f>'Comparision successful Networks'!$C$5:$C$18</c:f>
              <c:numCache>
                <c:formatCode>General</c:formatCode>
                <c:ptCount val="14"/>
                <c:pt idx="0">
                  <c:v>1</c:v>
                </c:pt>
                <c:pt idx="1">
                  <c:v>6</c:v>
                </c:pt>
                <c:pt idx="2">
                  <c:v>12</c:v>
                </c:pt>
                <c:pt idx="3">
                  <c:v>58</c:v>
                </c:pt>
                <c:pt idx="4">
                  <c:v>145</c:v>
                </c:pt>
                <c:pt idx="5">
                  <c:v>360</c:v>
                </c:pt>
                <c:pt idx="6">
                  <c:v>608</c:v>
                </c:pt>
                <c:pt idx="7">
                  <c:v>845</c:v>
                </c:pt>
                <c:pt idx="8">
                  <c:v>1056</c:v>
                </c:pt>
                <c:pt idx="9">
                  <c:v>1230</c:v>
                </c:pt>
                <c:pt idx="10">
                  <c:v>1393</c:v>
                </c:pt>
                <c:pt idx="11">
                  <c:v>1591</c:v>
                </c:pt>
                <c:pt idx="12">
                  <c:v>1860</c:v>
                </c:pt>
                <c:pt idx="13">
                  <c:v>2072</c:v>
                </c:pt>
              </c:numCache>
            </c:numRef>
          </c:val>
          <c:smooth val="0"/>
        </c:ser>
        <c:ser>
          <c:idx val="1"/>
          <c:order val="1"/>
          <c:tx>
            <c:v>WhatsApp</c:v>
          </c:tx>
          <c:spPr>
            <a:ln>
              <a:solidFill>
                <a:srgbClr val="7030A0"/>
              </a:solidFill>
            </a:ln>
          </c:spPr>
          <c:marker>
            <c:symbol val="none"/>
          </c:marker>
          <c:val>
            <c:numRef>
              <c:f>'Comparision successful Networks'!$E$9:$E$18</c:f>
              <c:numCache>
                <c:formatCode>General</c:formatCode>
                <c:ptCount val="10"/>
                <c:pt idx="0">
                  <c:v>0.01</c:v>
                </c:pt>
                <c:pt idx="1">
                  <c:v>0.25</c:v>
                </c:pt>
                <c:pt idx="2">
                  <c:v>5</c:v>
                </c:pt>
                <c:pt idx="3">
                  <c:v>35</c:v>
                </c:pt>
                <c:pt idx="4">
                  <c:v>150</c:v>
                </c:pt>
                <c:pt idx="5">
                  <c:v>400</c:v>
                </c:pt>
                <c:pt idx="6">
                  <c:v>600</c:v>
                </c:pt>
                <c:pt idx="7">
                  <c:v>900</c:v>
                </c:pt>
                <c:pt idx="8">
                  <c:v>1000</c:v>
                </c:pt>
                <c:pt idx="9">
                  <c:v>1500</c:v>
                </c:pt>
              </c:numCache>
            </c:numRef>
          </c:val>
          <c:smooth val="0"/>
        </c:ser>
        <c:ser>
          <c:idx val="2"/>
          <c:order val="2"/>
          <c:tx>
            <c:v>WeChat</c:v>
          </c:tx>
          <c:spPr>
            <a:ln>
              <a:solidFill>
                <a:srgbClr val="FF0000"/>
              </a:solidFill>
            </a:ln>
          </c:spPr>
          <c:marker>
            <c:symbol val="none"/>
          </c:marker>
          <c:val>
            <c:numRef>
              <c:f>'Comparision successful Networks'!$G$12:$G$18</c:f>
              <c:numCache>
                <c:formatCode>General</c:formatCode>
                <c:ptCount val="7"/>
                <c:pt idx="0">
                  <c:v>50</c:v>
                </c:pt>
                <c:pt idx="1">
                  <c:v>160</c:v>
                </c:pt>
                <c:pt idx="2">
                  <c:v>355</c:v>
                </c:pt>
                <c:pt idx="3">
                  <c:v>500</c:v>
                </c:pt>
                <c:pt idx="4">
                  <c:v>697</c:v>
                </c:pt>
                <c:pt idx="5">
                  <c:v>889</c:v>
                </c:pt>
                <c:pt idx="6">
                  <c:v>980</c:v>
                </c:pt>
              </c:numCache>
            </c:numRef>
          </c:val>
          <c:smooth val="0"/>
        </c:ser>
        <c:ser>
          <c:idx val="3"/>
          <c:order val="3"/>
          <c:tx>
            <c:v>Instagram</c:v>
          </c:tx>
          <c:spPr>
            <a:ln>
              <a:solidFill>
                <a:srgbClr val="FFC000"/>
              </a:solidFill>
            </a:ln>
          </c:spPr>
          <c:marker>
            <c:symbol val="none"/>
          </c:marker>
          <c:val>
            <c:numRef>
              <c:f>'Comparision successful Networks'!$I$11:$I$18</c:f>
              <c:numCache>
                <c:formatCode>General</c:formatCode>
                <c:ptCount val="8"/>
                <c:pt idx="0">
                  <c:v>1</c:v>
                </c:pt>
                <c:pt idx="1">
                  <c:v>10</c:v>
                </c:pt>
                <c:pt idx="2">
                  <c:v>80</c:v>
                </c:pt>
                <c:pt idx="3">
                  <c:v>150</c:v>
                </c:pt>
                <c:pt idx="4">
                  <c:v>300</c:v>
                </c:pt>
                <c:pt idx="5">
                  <c:v>400</c:v>
                </c:pt>
                <c:pt idx="6">
                  <c:v>600</c:v>
                </c:pt>
                <c:pt idx="7">
                  <c:v>800</c:v>
                </c:pt>
              </c:numCache>
            </c:numRef>
          </c:val>
          <c:smooth val="0"/>
        </c:ser>
        <c:ser>
          <c:idx val="4"/>
          <c:order val="4"/>
          <c:tx>
            <c:v>LinkedIn</c:v>
          </c:tx>
          <c:spPr>
            <a:ln>
              <a:solidFill>
                <a:schemeClr val="accent5">
                  <a:lumMod val="75000"/>
                </a:schemeClr>
              </a:solidFill>
            </a:ln>
          </c:spPr>
          <c:marker>
            <c:symbol val="none"/>
          </c:marker>
          <c:val>
            <c:numRef>
              <c:f>'Comparision successful Networks'!$K$4:$K$16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val>
            <c:numRef>
              <c:f>'Comparision successful Networks'!$M$7:$M$17</c:f>
              <c:numCache>
                <c:formatCode>General</c:formatCode>
                <c:ptCount val="11"/>
                <c:pt idx="0">
                  <c:v>1.6E-2</c:v>
                </c:pt>
                <c:pt idx="1">
                  <c:v>0.70199999999999996</c:v>
                </c:pt>
                <c:pt idx="2">
                  <c:v>4</c:v>
                </c:pt>
                <c:pt idx="3">
                  <c:v>18</c:v>
                </c:pt>
                <c:pt idx="4">
                  <c:v>54</c:v>
                </c:pt>
                <c:pt idx="5">
                  <c:v>117</c:v>
                </c:pt>
                <c:pt idx="6">
                  <c:v>185</c:v>
                </c:pt>
                <c:pt idx="7">
                  <c:v>241</c:v>
                </c:pt>
                <c:pt idx="8">
                  <c:v>288</c:v>
                </c:pt>
                <c:pt idx="9">
                  <c:v>305</c:v>
                </c:pt>
                <c:pt idx="10">
                  <c:v>319</c:v>
                </c:pt>
              </c:numCache>
            </c:numRef>
          </c:val>
          <c:smooth val="0"/>
        </c:ser>
        <c:ser>
          <c:idx val="6"/>
          <c:order val="6"/>
          <c:tx>
            <c:v>connect (Wir)</c:v>
          </c:tx>
          <c:spPr>
            <a:ln>
              <a:solidFill>
                <a:srgbClr val="6DC71B"/>
              </a:solidFill>
            </a:ln>
          </c:spPr>
          <c:marker>
            <c:symbol val="none"/>
          </c:marker>
          <c:val>
            <c:numRef>
              <c:f>'Comparision successful Networks'!$Q$21:$Q$26</c:f>
              <c:numCache>
                <c:formatCode>#,##0.00</c:formatCode>
                <c:ptCount val="6"/>
                <c:pt idx="0">
                  <c:v>5.5007231534220366E-2</c:v>
                </c:pt>
                <c:pt idx="1">
                  <c:v>0.26211723812496734</c:v>
                </c:pt>
                <c:pt idx="2">
                  <c:v>2.0163530394777931</c:v>
                </c:pt>
                <c:pt idx="3">
                  <c:v>5.8912056794336474</c:v>
                </c:pt>
                <c:pt idx="4">
                  <c:v>14.010941670429698</c:v>
                </c:pt>
                <c:pt idx="5">
                  <c:v>25.294677306404136</c:v>
                </c:pt>
              </c:numCache>
            </c:numRef>
          </c:val>
          <c:smooth val="0"/>
        </c:ser>
        <c:ser>
          <c:idx val="7"/>
          <c:order val="7"/>
          <c:tx>
            <c:v>connect (Sie)</c:v>
          </c:tx>
          <c:spPr>
            <a:ln>
              <a:solidFill>
                <a:schemeClr val="accent6">
                  <a:lumMod val="75000"/>
                </a:schemeClr>
              </a:solidFill>
            </a:ln>
          </c:spPr>
          <c:marker>
            <c:symbol val="none"/>
          </c:marker>
          <c:val>
            <c:numRef>
              <c:f>'Comparision successful Networks'!$O$21:$O$26</c:f>
              <c:numCache>
                <c:formatCode>#,##0.00</c:formatCode>
                <c:ptCount val="6"/>
                <c:pt idx="0">
                  <c:v>2.6787965261703416E-2</c:v>
                </c:pt>
                <c:pt idx="1">
                  <c:v>3.8454597338960603E-2</c:v>
                </c:pt>
                <c:pt idx="2">
                  <c:v>3.8454597338960603E-2</c:v>
                </c:pt>
                <c:pt idx="3">
                  <c:v>3.8454597338960603E-2</c:v>
                </c:pt>
                <c:pt idx="4">
                  <c:v>3.8454597338960603E-2</c:v>
                </c:pt>
                <c:pt idx="5">
                  <c:v>3.8454597338960603E-2</c:v>
                </c:pt>
              </c:numCache>
            </c:numRef>
          </c:val>
          <c:smooth val="0"/>
        </c:ser>
        <c:dLbls>
          <c:showLegendKey val="0"/>
          <c:showVal val="0"/>
          <c:showCatName val="0"/>
          <c:showSerName val="0"/>
          <c:showPercent val="0"/>
          <c:showBubbleSize val="0"/>
        </c:dLbls>
        <c:marker val="1"/>
        <c:smooth val="0"/>
        <c:axId val="102417920"/>
        <c:axId val="140376832"/>
      </c:lineChart>
      <c:catAx>
        <c:axId val="102417920"/>
        <c:scaling>
          <c:orientation val="minMax"/>
        </c:scaling>
        <c:delete val="0"/>
        <c:axPos val="b"/>
        <c:numFmt formatCode="General" sourceLinked="1"/>
        <c:majorTickMark val="out"/>
        <c:minorTickMark val="none"/>
        <c:tickLblPos val="nextTo"/>
        <c:crossAx val="140376832"/>
        <c:crosses val="autoZero"/>
        <c:auto val="1"/>
        <c:lblAlgn val="ctr"/>
        <c:lblOffset val="100"/>
        <c:noMultiLvlLbl val="0"/>
      </c:catAx>
      <c:valAx>
        <c:axId val="140376832"/>
        <c:scaling>
          <c:orientation val="minMax"/>
        </c:scaling>
        <c:delete val="0"/>
        <c:axPos val="l"/>
        <c:majorGridlines/>
        <c:numFmt formatCode="General" sourceLinked="1"/>
        <c:majorTickMark val="out"/>
        <c:minorTickMark val="none"/>
        <c:tickLblPos val="nextTo"/>
        <c:crossAx val="102417920"/>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val>
            <c:numRef>
              <c:f>'Comparision successful Networks'!$C$5:$C$20</c:f>
              <c:numCache>
                <c:formatCode>General</c:formatCode>
                <c:ptCount val="16"/>
                <c:pt idx="0">
                  <c:v>1</c:v>
                </c:pt>
                <c:pt idx="1">
                  <c:v>6</c:v>
                </c:pt>
                <c:pt idx="2">
                  <c:v>12</c:v>
                </c:pt>
                <c:pt idx="3">
                  <c:v>58</c:v>
                </c:pt>
                <c:pt idx="4">
                  <c:v>145</c:v>
                </c:pt>
                <c:pt idx="5">
                  <c:v>360</c:v>
                </c:pt>
                <c:pt idx="6">
                  <c:v>608</c:v>
                </c:pt>
                <c:pt idx="7">
                  <c:v>845</c:v>
                </c:pt>
                <c:pt idx="8">
                  <c:v>1056</c:v>
                </c:pt>
                <c:pt idx="9">
                  <c:v>1230</c:v>
                </c:pt>
                <c:pt idx="10">
                  <c:v>1393</c:v>
                </c:pt>
                <c:pt idx="11">
                  <c:v>1591</c:v>
                </c:pt>
                <c:pt idx="12">
                  <c:v>1860</c:v>
                </c:pt>
                <c:pt idx="13">
                  <c:v>2072</c:v>
                </c:pt>
                <c:pt idx="14">
                  <c:v>2250</c:v>
                </c:pt>
                <c:pt idx="15">
                  <c:v>2450</c:v>
                </c:pt>
              </c:numCache>
            </c:numRef>
          </c:val>
          <c:smooth val="0"/>
        </c:ser>
        <c:ser>
          <c:idx val="1"/>
          <c:order val="1"/>
          <c:tx>
            <c:v>WhatsApp</c:v>
          </c:tx>
          <c:spPr>
            <a:ln>
              <a:solidFill>
                <a:srgbClr val="7030A0"/>
              </a:solidFill>
            </a:ln>
          </c:spPr>
          <c:marker>
            <c:symbol val="none"/>
          </c:marker>
          <c:val>
            <c:numRef>
              <c:f>'Comparision successful Networks'!$E$9:$E$18</c:f>
              <c:numCache>
                <c:formatCode>General</c:formatCode>
                <c:ptCount val="10"/>
                <c:pt idx="0">
                  <c:v>0.01</c:v>
                </c:pt>
                <c:pt idx="1">
                  <c:v>0.25</c:v>
                </c:pt>
                <c:pt idx="2">
                  <c:v>5</c:v>
                </c:pt>
                <c:pt idx="3">
                  <c:v>35</c:v>
                </c:pt>
                <c:pt idx="4">
                  <c:v>150</c:v>
                </c:pt>
                <c:pt idx="5">
                  <c:v>400</c:v>
                </c:pt>
                <c:pt idx="6">
                  <c:v>600</c:v>
                </c:pt>
                <c:pt idx="7">
                  <c:v>900</c:v>
                </c:pt>
                <c:pt idx="8">
                  <c:v>1000</c:v>
                </c:pt>
                <c:pt idx="9">
                  <c:v>1500</c:v>
                </c:pt>
              </c:numCache>
            </c:numRef>
          </c:val>
          <c:smooth val="0"/>
        </c:ser>
        <c:ser>
          <c:idx val="2"/>
          <c:order val="2"/>
          <c:tx>
            <c:v>WeChat</c:v>
          </c:tx>
          <c:spPr>
            <a:ln>
              <a:solidFill>
                <a:srgbClr val="FF0000"/>
              </a:solidFill>
            </a:ln>
          </c:spPr>
          <c:marker>
            <c:symbol val="none"/>
          </c:marker>
          <c:val>
            <c:numRef>
              <c:f>'Comparision successful Networks'!$G$12:$G$20</c:f>
              <c:numCache>
                <c:formatCode>General</c:formatCode>
                <c:ptCount val="9"/>
                <c:pt idx="0">
                  <c:v>50</c:v>
                </c:pt>
                <c:pt idx="1">
                  <c:v>160</c:v>
                </c:pt>
                <c:pt idx="2">
                  <c:v>355</c:v>
                </c:pt>
                <c:pt idx="3">
                  <c:v>500</c:v>
                </c:pt>
                <c:pt idx="4">
                  <c:v>697</c:v>
                </c:pt>
                <c:pt idx="5">
                  <c:v>889</c:v>
                </c:pt>
                <c:pt idx="6">
                  <c:v>980</c:v>
                </c:pt>
                <c:pt idx="7">
                  <c:v>1100</c:v>
                </c:pt>
                <c:pt idx="8">
                  <c:v>1160</c:v>
                </c:pt>
              </c:numCache>
            </c:numRef>
          </c:val>
          <c:smooth val="0"/>
        </c:ser>
        <c:ser>
          <c:idx val="3"/>
          <c:order val="3"/>
          <c:tx>
            <c:v>Instagram</c:v>
          </c:tx>
          <c:spPr>
            <a:ln>
              <a:solidFill>
                <a:srgbClr val="FFC000"/>
              </a:solidFill>
            </a:ln>
          </c:spPr>
          <c:marker>
            <c:symbol val="none"/>
          </c:marker>
          <c:val>
            <c:numRef>
              <c:f>'Comparision successful Networks'!$I$11:$I$19</c:f>
              <c:numCache>
                <c:formatCode>General</c:formatCode>
                <c:ptCount val="9"/>
                <c:pt idx="0">
                  <c:v>1</c:v>
                </c:pt>
                <c:pt idx="1">
                  <c:v>10</c:v>
                </c:pt>
                <c:pt idx="2">
                  <c:v>80</c:v>
                </c:pt>
                <c:pt idx="3">
                  <c:v>150</c:v>
                </c:pt>
                <c:pt idx="4">
                  <c:v>300</c:v>
                </c:pt>
                <c:pt idx="5">
                  <c:v>400</c:v>
                </c:pt>
                <c:pt idx="6">
                  <c:v>600</c:v>
                </c:pt>
                <c:pt idx="7">
                  <c:v>800</c:v>
                </c:pt>
                <c:pt idx="8">
                  <c:v>1000</c:v>
                </c:pt>
              </c:numCache>
            </c:numRef>
          </c:val>
          <c:smooth val="0"/>
        </c:ser>
        <c:ser>
          <c:idx val="4"/>
          <c:order val="4"/>
          <c:tx>
            <c:v>LinkedIn</c:v>
          </c:tx>
          <c:spPr>
            <a:ln>
              <a:solidFill>
                <a:schemeClr val="accent5">
                  <a:lumMod val="75000"/>
                </a:schemeClr>
              </a:solidFill>
            </a:ln>
          </c:spPr>
          <c:marker>
            <c:symbol val="none"/>
          </c:marker>
          <c:val>
            <c:numRef>
              <c:f>'Comparision successful Networks'!$K$4:$K$16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val>
            <c:numRef>
              <c:f>'Comparision successful Networks'!$M$7:$M$17</c:f>
              <c:numCache>
                <c:formatCode>General</c:formatCode>
                <c:ptCount val="11"/>
                <c:pt idx="0">
                  <c:v>1.6E-2</c:v>
                </c:pt>
                <c:pt idx="1">
                  <c:v>0.70199999999999996</c:v>
                </c:pt>
                <c:pt idx="2">
                  <c:v>4</c:v>
                </c:pt>
                <c:pt idx="3">
                  <c:v>18</c:v>
                </c:pt>
                <c:pt idx="4">
                  <c:v>54</c:v>
                </c:pt>
                <c:pt idx="5">
                  <c:v>117</c:v>
                </c:pt>
                <c:pt idx="6">
                  <c:v>185</c:v>
                </c:pt>
                <c:pt idx="7">
                  <c:v>241</c:v>
                </c:pt>
                <c:pt idx="8">
                  <c:v>288</c:v>
                </c:pt>
                <c:pt idx="9">
                  <c:v>305</c:v>
                </c:pt>
                <c:pt idx="10">
                  <c:v>319</c:v>
                </c:pt>
              </c:numCache>
            </c:numRef>
          </c:val>
          <c:smooth val="0"/>
        </c:ser>
        <c:ser>
          <c:idx val="6"/>
          <c:order val="6"/>
          <c:tx>
            <c:v>connect (Realistic)</c:v>
          </c:tx>
          <c:spPr>
            <a:ln>
              <a:solidFill>
                <a:srgbClr val="6DC71B"/>
              </a:solidFill>
            </a:ln>
          </c:spPr>
          <c:marker>
            <c:symbol val="none"/>
          </c:marker>
          <c:val>
            <c:numRef>
              <c:f>'Comparision successful Networks'!$Q$21:$Q$26</c:f>
              <c:numCache>
                <c:formatCode>#,##0.00</c:formatCode>
                <c:ptCount val="6"/>
                <c:pt idx="0">
                  <c:v>5.5007231534220366E-2</c:v>
                </c:pt>
                <c:pt idx="1">
                  <c:v>0.26211723812496734</c:v>
                </c:pt>
                <c:pt idx="2">
                  <c:v>2.0163530394777931</c:v>
                </c:pt>
                <c:pt idx="3">
                  <c:v>5.8912056794336474</c:v>
                </c:pt>
                <c:pt idx="4">
                  <c:v>14.010941670429698</c:v>
                </c:pt>
                <c:pt idx="5">
                  <c:v>25.294677306404136</c:v>
                </c:pt>
              </c:numCache>
            </c:numRef>
          </c:val>
          <c:smooth val="0"/>
        </c:ser>
        <c:ser>
          <c:idx val="7"/>
          <c:order val="7"/>
          <c:tx>
            <c:v>connect (You)</c:v>
          </c:tx>
          <c:spPr>
            <a:ln>
              <a:solidFill>
                <a:schemeClr val="accent6">
                  <a:lumMod val="75000"/>
                </a:schemeClr>
              </a:solidFill>
            </a:ln>
          </c:spPr>
          <c:marker>
            <c:symbol val="none"/>
          </c:marker>
          <c:val>
            <c:numRef>
              <c:f>'Comparision successful Networks'!$O$21:$O$26</c:f>
              <c:numCache>
                <c:formatCode>#,##0.00</c:formatCode>
                <c:ptCount val="6"/>
                <c:pt idx="0">
                  <c:v>2.6787965261703416E-2</c:v>
                </c:pt>
                <c:pt idx="1">
                  <c:v>3.8454597338960603E-2</c:v>
                </c:pt>
                <c:pt idx="2">
                  <c:v>3.8454597338960603E-2</c:v>
                </c:pt>
                <c:pt idx="3">
                  <c:v>3.8454597338960603E-2</c:v>
                </c:pt>
                <c:pt idx="4">
                  <c:v>3.8454597338960603E-2</c:v>
                </c:pt>
                <c:pt idx="5">
                  <c:v>3.8454597338960603E-2</c:v>
                </c:pt>
              </c:numCache>
            </c:numRef>
          </c:val>
          <c:smooth val="0"/>
        </c:ser>
        <c:dLbls>
          <c:showLegendKey val="0"/>
          <c:showVal val="0"/>
          <c:showCatName val="0"/>
          <c:showSerName val="0"/>
          <c:showPercent val="0"/>
          <c:showBubbleSize val="0"/>
        </c:dLbls>
        <c:marker val="1"/>
        <c:smooth val="0"/>
        <c:axId val="102418944"/>
        <c:axId val="140371072"/>
      </c:lineChart>
      <c:catAx>
        <c:axId val="102418944"/>
        <c:scaling>
          <c:orientation val="minMax"/>
        </c:scaling>
        <c:delete val="0"/>
        <c:axPos val="b"/>
        <c:numFmt formatCode="General" sourceLinked="1"/>
        <c:majorTickMark val="out"/>
        <c:minorTickMark val="none"/>
        <c:tickLblPos val="nextTo"/>
        <c:crossAx val="140371072"/>
        <c:crosses val="autoZero"/>
        <c:auto val="1"/>
        <c:lblAlgn val="ctr"/>
        <c:lblOffset val="100"/>
        <c:noMultiLvlLbl val="0"/>
      </c:catAx>
      <c:valAx>
        <c:axId val="140371072"/>
        <c:scaling>
          <c:orientation val="minMax"/>
        </c:scaling>
        <c:delete val="0"/>
        <c:axPos val="l"/>
        <c:majorGridlines/>
        <c:numFmt formatCode="General" sourceLinked="1"/>
        <c:majorTickMark val="out"/>
        <c:minorTickMark val="none"/>
        <c:tickLblPos val="nextTo"/>
        <c:crossAx val="102418944"/>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User</c:v>
          </c:tx>
          <c:spPr>
            <a:solidFill>
              <a:schemeClr val="tx2">
                <a:lumMod val="60000"/>
                <a:lumOff val="40000"/>
              </a:schemeClr>
            </a:solidFill>
          </c:spPr>
          <c:invertIfNegative val="0"/>
          <c:cat>
            <c:strRef>
              <c:f>Cautious!$B$260:$I$260</c:f>
              <c:strCache>
                <c:ptCount val="8"/>
                <c:pt idx="0">
                  <c:v>Q1 2020</c:v>
                </c:pt>
                <c:pt idx="1">
                  <c:v>Q2 2020</c:v>
                </c:pt>
                <c:pt idx="2">
                  <c:v>Q3 2020</c:v>
                </c:pt>
                <c:pt idx="3">
                  <c:v>Q4 2020</c:v>
                </c:pt>
                <c:pt idx="4">
                  <c:v>Q1 2021</c:v>
                </c:pt>
                <c:pt idx="5">
                  <c:v>Q2 2021</c:v>
                </c:pt>
                <c:pt idx="6">
                  <c:v>Q3 2021</c:v>
                </c:pt>
                <c:pt idx="7">
                  <c:v>Q4 2021</c:v>
                </c:pt>
              </c:strCache>
            </c:strRef>
          </c:cat>
          <c:val>
            <c:numRef>
              <c:f>(Cautious!$F$18:$I$18,Cautious!$K$18:$N$18)</c:f>
              <c:numCache>
                <c:formatCode>#,##0</c:formatCode>
                <c:ptCount val="8"/>
                <c:pt idx="0">
                  <c:v>2145.2140738464004</c:v>
                </c:pt>
                <c:pt idx="1">
                  <c:v>5119.0141529075154</c:v>
                </c:pt>
                <c:pt idx="2">
                  <c:v>19754.748216411252</c:v>
                </c:pt>
                <c:pt idx="3">
                  <c:v>33585.002128095577</c:v>
                </c:pt>
                <c:pt idx="4">
                  <c:v>45989.972966333618</c:v>
                </c:pt>
                <c:pt idx="5">
                  <c:v>61085.634288196627</c:v>
                </c:pt>
                <c:pt idx="6">
                  <c:v>78518.267743620163</c:v>
                </c:pt>
                <c:pt idx="7">
                  <c:v>104288.94296394459</c:v>
                </c:pt>
              </c:numCache>
            </c:numRef>
          </c:val>
        </c:ser>
        <c:ser>
          <c:idx val="1"/>
          <c:order val="1"/>
          <c:tx>
            <c:v>Income</c:v>
          </c:tx>
          <c:spPr>
            <a:solidFill>
              <a:srgbClr val="6DC71B"/>
            </a:solidFill>
          </c:spPr>
          <c:invertIfNegative val="0"/>
          <c:cat>
            <c:strRef>
              <c:f>Cautious!$B$260:$I$260</c:f>
              <c:strCache>
                <c:ptCount val="8"/>
                <c:pt idx="0">
                  <c:v>Q1 2020</c:v>
                </c:pt>
                <c:pt idx="1">
                  <c:v>Q2 2020</c:v>
                </c:pt>
                <c:pt idx="2">
                  <c:v>Q3 2020</c:v>
                </c:pt>
                <c:pt idx="3">
                  <c:v>Q4 2020</c:v>
                </c:pt>
                <c:pt idx="4">
                  <c:v>Q1 2021</c:v>
                </c:pt>
                <c:pt idx="5">
                  <c:v>Q2 2021</c:v>
                </c:pt>
                <c:pt idx="6">
                  <c:v>Q3 2021</c:v>
                </c:pt>
                <c:pt idx="7">
                  <c:v>Q4 2021</c:v>
                </c:pt>
              </c:strCache>
            </c:strRef>
          </c:cat>
          <c:val>
            <c:numRef>
              <c:f>(Cautious!$F$30:$I$30,Cautious!$K$30:$N$30)</c:f>
              <c:numCache>
                <c:formatCode>#,##0\ "€"</c:formatCode>
                <c:ptCount val="8"/>
                <c:pt idx="0">
                  <c:v>0</c:v>
                </c:pt>
                <c:pt idx="1">
                  <c:v>0</c:v>
                </c:pt>
                <c:pt idx="2">
                  <c:v>13374.565318442659</c:v>
                </c:pt>
                <c:pt idx="3">
                  <c:v>53135.675125748952</c:v>
                </c:pt>
                <c:pt idx="4">
                  <c:v>99415.652394041841</c:v>
                </c:pt>
                <c:pt idx="5">
                  <c:v>180238.60014851089</c:v>
                </c:pt>
                <c:pt idx="6">
                  <c:v>294766.40944624227</c:v>
                </c:pt>
                <c:pt idx="7">
                  <c:v>468249.28718482063</c:v>
                </c:pt>
              </c:numCache>
            </c:numRef>
          </c:val>
        </c:ser>
        <c:ser>
          <c:idx val="2"/>
          <c:order val="2"/>
          <c:tx>
            <c:v>Expenses</c:v>
          </c:tx>
          <c:spPr>
            <a:solidFill>
              <a:srgbClr val="FF0000"/>
            </a:solidFill>
          </c:spPr>
          <c:invertIfNegative val="0"/>
          <c:cat>
            <c:strRef>
              <c:f>Cautious!$B$260:$I$260</c:f>
              <c:strCache>
                <c:ptCount val="8"/>
                <c:pt idx="0">
                  <c:v>Q1 2020</c:v>
                </c:pt>
                <c:pt idx="1">
                  <c:v>Q2 2020</c:v>
                </c:pt>
                <c:pt idx="2">
                  <c:v>Q3 2020</c:v>
                </c:pt>
                <c:pt idx="3">
                  <c:v>Q4 2020</c:v>
                </c:pt>
                <c:pt idx="4">
                  <c:v>Q1 2021</c:v>
                </c:pt>
                <c:pt idx="5">
                  <c:v>Q2 2021</c:v>
                </c:pt>
                <c:pt idx="6">
                  <c:v>Q3 2021</c:v>
                </c:pt>
                <c:pt idx="7">
                  <c:v>Q4 2021</c:v>
                </c:pt>
              </c:strCache>
            </c:strRef>
          </c:cat>
          <c:val>
            <c:numRef>
              <c:f>(Cautious!$F$47:$I$47,Cautious!$K$47:$N$47)</c:f>
              <c:numCache>
                <c:formatCode>#,##0\ "€"</c:formatCode>
                <c:ptCount val="8"/>
                <c:pt idx="0">
                  <c:v>128482.35642221538</c:v>
                </c:pt>
                <c:pt idx="1">
                  <c:v>160568.57042458723</c:v>
                </c:pt>
                <c:pt idx="2">
                  <c:v>162213.44075424972</c:v>
                </c:pt>
                <c:pt idx="3">
                  <c:v>172333.07109776308</c:v>
                </c:pt>
                <c:pt idx="4">
                  <c:v>221896.92012181677</c:v>
                </c:pt>
                <c:pt idx="5">
                  <c:v>260069.93182395905</c:v>
                </c:pt>
                <c:pt idx="6">
                  <c:v>343230.63492012443</c:v>
                </c:pt>
                <c:pt idx="7">
                  <c:v>461151.76699771051</c:v>
                </c:pt>
              </c:numCache>
            </c:numRef>
          </c:val>
        </c:ser>
        <c:ser>
          <c:idx val="3"/>
          <c:order val="3"/>
          <c:tx>
            <c:v>Result</c:v>
          </c:tx>
          <c:spPr>
            <a:solidFill>
              <a:srgbClr val="FFC000"/>
            </a:solidFill>
          </c:spPr>
          <c:invertIfNegative val="0"/>
          <c:cat>
            <c:strRef>
              <c:f>Cautious!$B$260:$I$260</c:f>
              <c:strCache>
                <c:ptCount val="8"/>
                <c:pt idx="0">
                  <c:v>Q1 2020</c:v>
                </c:pt>
                <c:pt idx="1">
                  <c:v>Q2 2020</c:v>
                </c:pt>
                <c:pt idx="2">
                  <c:v>Q3 2020</c:v>
                </c:pt>
                <c:pt idx="3">
                  <c:v>Q4 2020</c:v>
                </c:pt>
                <c:pt idx="4">
                  <c:v>Q1 2021</c:v>
                </c:pt>
                <c:pt idx="5">
                  <c:v>Q2 2021</c:v>
                </c:pt>
                <c:pt idx="6">
                  <c:v>Q3 2021</c:v>
                </c:pt>
                <c:pt idx="7">
                  <c:v>Q4 2021</c:v>
                </c:pt>
              </c:strCache>
            </c:strRef>
          </c:cat>
          <c:val>
            <c:numRef>
              <c:f>(Cautious!$F$49:$I$49,Cautious!$K$49:$N$49)</c:f>
              <c:numCache>
                <c:formatCode>#,##0\ "€"</c:formatCode>
                <c:ptCount val="8"/>
                <c:pt idx="0">
                  <c:v>-128482.35642221538</c:v>
                </c:pt>
                <c:pt idx="1">
                  <c:v>-160568.57042458723</c:v>
                </c:pt>
                <c:pt idx="2">
                  <c:v>-148838.87543580707</c:v>
                </c:pt>
                <c:pt idx="3">
                  <c:v>-119197.39597201413</c:v>
                </c:pt>
                <c:pt idx="4">
                  <c:v>-122481.26772777493</c:v>
                </c:pt>
                <c:pt idx="5">
                  <c:v>-79831.331675448164</c:v>
                </c:pt>
                <c:pt idx="6">
                  <c:v>-48464.225473882165</c:v>
                </c:pt>
                <c:pt idx="7">
                  <c:v>7097.5201871101162</c:v>
                </c:pt>
              </c:numCache>
            </c:numRef>
          </c:val>
        </c:ser>
        <c:dLbls>
          <c:showLegendKey val="0"/>
          <c:showVal val="0"/>
          <c:showCatName val="0"/>
          <c:showSerName val="0"/>
          <c:showPercent val="0"/>
          <c:showBubbleSize val="0"/>
        </c:dLbls>
        <c:gapWidth val="150"/>
        <c:axId val="102419968"/>
        <c:axId val="140374528"/>
      </c:barChart>
      <c:catAx>
        <c:axId val="102419968"/>
        <c:scaling>
          <c:orientation val="minMax"/>
        </c:scaling>
        <c:delete val="0"/>
        <c:axPos val="b"/>
        <c:majorTickMark val="out"/>
        <c:minorTickMark val="none"/>
        <c:tickLblPos val="nextTo"/>
        <c:crossAx val="140374528"/>
        <c:crosses val="autoZero"/>
        <c:auto val="1"/>
        <c:lblAlgn val="ctr"/>
        <c:lblOffset val="100"/>
        <c:noMultiLvlLbl val="0"/>
      </c:catAx>
      <c:valAx>
        <c:axId val="140374528"/>
        <c:scaling>
          <c:orientation val="minMax"/>
        </c:scaling>
        <c:delete val="0"/>
        <c:axPos val="l"/>
        <c:majorGridlines/>
        <c:numFmt formatCode="#,##0" sourceLinked="1"/>
        <c:majorTickMark val="out"/>
        <c:minorTickMark val="none"/>
        <c:tickLblPos val="nextTo"/>
        <c:crossAx val="102419968"/>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User</c:v>
          </c:tx>
          <c:spPr>
            <a:solidFill>
              <a:schemeClr val="tx2">
                <a:lumMod val="60000"/>
                <a:lumOff val="40000"/>
              </a:schemeClr>
            </a:solidFill>
          </c:spPr>
          <c:invertIfNegative val="0"/>
          <c:cat>
            <c:strRef>
              <c:f>Cautious!$J$260:$P$260</c:f>
              <c:strCache>
                <c:ptCount val="7"/>
                <c:pt idx="0">
                  <c:v>Q1 2022</c:v>
                </c:pt>
                <c:pt idx="1">
                  <c:v>Q2 2022</c:v>
                </c:pt>
                <c:pt idx="2">
                  <c:v>Q3 2022</c:v>
                </c:pt>
                <c:pt idx="3">
                  <c:v>Q4 2022</c:v>
                </c:pt>
                <c:pt idx="4">
                  <c:v>2023</c:v>
                </c:pt>
                <c:pt idx="5">
                  <c:v>2024</c:v>
                </c:pt>
                <c:pt idx="6">
                  <c:v>2025</c:v>
                </c:pt>
              </c:strCache>
            </c:strRef>
          </c:cat>
          <c:val>
            <c:numRef>
              <c:f>(Cautious!$P$18:$S$18,Cautious!$V$18:$X$18)</c:f>
              <c:numCache>
                <c:formatCode>#,##0</c:formatCode>
                <c:ptCount val="7"/>
                <c:pt idx="0">
                  <c:v>142078.64691439606</c:v>
                </c:pt>
                <c:pt idx="1">
                  <c:v>198198.99301344121</c:v>
                </c:pt>
                <c:pt idx="2">
                  <c:v>283367.38288871152</c:v>
                </c:pt>
                <c:pt idx="3">
                  <c:v>415493.86781715835</c:v>
                </c:pt>
                <c:pt idx="4">
                  <c:v>909365.26330058416</c:v>
                </c:pt>
                <c:pt idx="5">
                  <c:v>2935181.8902063193</c:v>
                </c:pt>
                <c:pt idx="6">
                  <c:v>5748258.0720707681</c:v>
                </c:pt>
              </c:numCache>
            </c:numRef>
          </c:val>
        </c:ser>
        <c:ser>
          <c:idx val="1"/>
          <c:order val="1"/>
          <c:tx>
            <c:v>Income</c:v>
          </c:tx>
          <c:spPr>
            <a:solidFill>
              <a:srgbClr val="6DC71B"/>
            </a:solidFill>
          </c:spPr>
          <c:invertIfNegative val="0"/>
          <c:cat>
            <c:strRef>
              <c:f>Cautious!$J$260:$P$260</c:f>
              <c:strCache>
                <c:ptCount val="7"/>
                <c:pt idx="0">
                  <c:v>Q1 2022</c:v>
                </c:pt>
                <c:pt idx="1">
                  <c:v>Q2 2022</c:v>
                </c:pt>
                <c:pt idx="2">
                  <c:v>Q3 2022</c:v>
                </c:pt>
                <c:pt idx="3">
                  <c:v>Q4 2022</c:v>
                </c:pt>
                <c:pt idx="4">
                  <c:v>2023</c:v>
                </c:pt>
                <c:pt idx="5">
                  <c:v>2024</c:v>
                </c:pt>
                <c:pt idx="6">
                  <c:v>2025</c:v>
                </c:pt>
              </c:strCache>
            </c:strRef>
          </c:cat>
          <c:val>
            <c:numRef>
              <c:f>(Cautious!$P$30:$S$30,Cautious!$V$30:$X$30)</c:f>
              <c:numCache>
                <c:formatCode>#,##0\ "€"</c:formatCode>
                <c:ptCount val="7"/>
                <c:pt idx="0">
                  <c:v>741982.74088197562</c:v>
                </c:pt>
                <c:pt idx="1">
                  <c:v>1178615.690495759</c:v>
                </c:pt>
                <c:pt idx="2">
                  <c:v>1887032.3624787466</c:v>
                </c:pt>
                <c:pt idx="3">
                  <c:v>3058281.1140785804</c:v>
                </c:pt>
                <c:pt idx="4">
                  <c:v>26311702.343998369</c:v>
                </c:pt>
                <c:pt idx="5">
                  <c:v>89270384.9044303</c:v>
                </c:pt>
                <c:pt idx="6">
                  <c:v>230805834.19732502</c:v>
                </c:pt>
              </c:numCache>
            </c:numRef>
          </c:val>
        </c:ser>
        <c:ser>
          <c:idx val="2"/>
          <c:order val="2"/>
          <c:tx>
            <c:v>Expenses</c:v>
          </c:tx>
          <c:spPr>
            <a:solidFill>
              <a:srgbClr val="FF0000"/>
            </a:solidFill>
          </c:spPr>
          <c:invertIfNegative val="0"/>
          <c:cat>
            <c:strRef>
              <c:f>Cautious!$J$260:$P$260</c:f>
              <c:strCache>
                <c:ptCount val="7"/>
                <c:pt idx="0">
                  <c:v>Q1 2022</c:v>
                </c:pt>
                <c:pt idx="1">
                  <c:v>Q2 2022</c:v>
                </c:pt>
                <c:pt idx="2">
                  <c:v>Q3 2022</c:v>
                </c:pt>
                <c:pt idx="3">
                  <c:v>Q4 2022</c:v>
                </c:pt>
                <c:pt idx="4">
                  <c:v>2023</c:v>
                </c:pt>
                <c:pt idx="5">
                  <c:v>2024</c:v>
                </c:pt>
                <c:pt idx="6">
                  <c:v>2025</c:v>
                </c:pt>
              </c:strCache>
            </c:strRef>
          </c:cat>
          <c:val>
            <c:numRef>
              <c:f>(Cautious!$P$47:$S$47,Cautious!$V$47:$X$47)</c:f>
              <c:numCache>
                <c:formatCode>#,##0\ "€"</c:formatCode>
                <c:ptCount val="7"/>
                <c:pt idx="0">
                  <c:v>637710.18323991261</c:v>
                </c:pt>
                <c:pt idx="1">
                  <c:v>921286.88778612833</c:v>
                </c:pt>
                <c:pt idx="2">
                  <c:v>1347221.8785026055</c:v>
                </c:pt>
                <c:pt idx="3">
                  <c:v>2016893.1311778654</c:v>
                </c:pt>
                <c:pt idx="4">
                  <c:v>17742386.741616778</c:v>
                </c:pt>
                <c:pt idx="5">
                  <c:v>47538504.465137251</c:v>
                </c:pt>
                <c:pt idx="6">
                  <c:v>103816033.85207807</c:v>
                </c:pt>
              </c:numCache>
            </c:numRef>
          </c:val>
        </c:ser>
        <c:ser>
          <c:idx val="3"/>
          <c:order val="3"/>
          <c:tx>
            <c:v>Result</c:v>
          </c:tx>
          <c:spPr>
            <a:solidFill>
              <a:srgbClr val="FFC000"/>
            </a:solidFill>
          </c:spPr>
          <c:invertIfNegative val="0"/>
          <c:cat>
            <c:strRef>
              <c:f>Cautious!$J$260:$P$260</c:f>
              <c:strCache>
                <c:ptCount val="7"/>
                <c:pt idx="0">
                  <c:v>Q1 2022</c:v>
                </c:pt>
                <c:pt idx="1">
                  <c:v>Q2 2022</c:v>
                </c:pt>
                <c:pt idx="2">
                  <c:v>Q3 2022</c:v>
                </c:pt>
                <c:pt idx="3">
                  <c:v>Q4 2022</c:v>
                </c:pt>
                <c:pt idx="4">
                  <c:v>2023</c:v>
                </c:pt>
                <c:pt idx="5">
                  <c:v>2024</c:v>
                </c:pt>
                <c:pt idx="6">
                  <c:v>2025</c:v>
                </c:pt>
              </c:strCache>
            </c:strRef>
          </c:cat>
          <c:val>
            <c:numRef>
              <c:f>(Cautious!$P$49:$S$49,Cautious!$V$49:$X$49)</c:f>
              <c:numCache>
                <c:formatCode>#,##0\ "€"</c:formatCode>
                <c:ptCount val="7"/>
                <c:pt idx="0">
                  <c:v>104272.55764206301</c:v>
                </c:pt>
                <c:pt idx="1">
                  <c:v>257328.80270963069</c:v>
                </c:pt>
                <c:pt idx="2">
                  <c:v>539810.48397614108</c:v>
                </c:pt>
                <c:pt idx="3">
                  <c:v>1041387.982900715</c:v>
                </c:pt>
                <c:pt idx="4">
                  <c:v>8569315.6023815908</c:v>
                </c:pt>
                <c:pt idx="5">
                  <c:v>41731880.439293049</c:v>
                </c:pt>
                <c:pt idx="6">
                  <c:v>126989800.34524696</c:v>
                </c:pt>
              </c:numCache>
            </c:numRef>
          </c:val>
        </c:ser>
        <c:dLbls>
          <c:showLegendKey val="0"/>
          <c:showVal val="0"/>
          <c:showCatName val="0"/>
          <c:showSerName val="0"/>
          <c:showPercent val="0"/>
          <c:showBubbleSize val="0"/>
        </c:dLbls>
        <c:gapWidth val="150"/>
        <c:axId val="174907904"/>
        <c:axId val="170493056"/>
      </c:barChart>
      <c:catAx>
        <c:axId val="174907904"/>
        <c:scaling>
          <c:orientation val="minMax"/>
        </c:scaling>
        <c:delete val="0"/>
        <c:axPos val="b"/>
        <c:majorTickMark val="out"/>
        <c:minorTickMark val="none"/>
        <c:tickLblPos val="nextTo"/>
        <c:crossAx val="170493056"/>
        <c:crosses val="autoZero"/>
        <c:auto val="1"/>
        <c:lblAlgn val="ctr"/>
        <c:lblOffset val="100"/>
        <c:noMultiLvlLbl val="0"/>
      </c:catAx>
      <c:valAx>
        <c:axId val="170493056"/>
        <c:scaling>
          <c:orientation val="minMax"/>
        </c:scaling>
        <c:delete val="0"/>
        <c:axPos val="l"/>
        <c:majorGridlines/>
        <c:numFmt formatCode="#,##0" sourceLinked="1"/>
        <c:majorTickMark val="out"/>
        <c:minorTickMark val="none"/>
        <c:tickLblPos val="nextTo"/>
        <c:crossAx val="174907904"/>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Networks'!$C$4:$C$20</c:f>
              <c:numCache>
                <c:formatCode>General</c:formatCode>
                <c:ptCount val="17"/>
                <c:pt idx="0">
                  <c:v>0</c:v>
                </c:pt>
                <c:pt idx="1">
                  <c:v>1</c:v>
                </c:pt>
                <c:pt idx="2">
                  <c:v>6</c:v>
                </c:pt>
                <c:pt idx="3">
                  <c:v>12</c:v>
                </c:pt>
                <c:pt idx="4">
                  <c:v>58</c:v>
                </c:pt>
                <c:pt idx="5">
                  <c:v>145</c:v>
                </c:pt>
                <c:pt idx="6">
                  <c:v>360</c:v>
                </c:pt>
                <c:pt idx="7">
                  <c:v>608</c:v>
                </c:pt>
                <c:pt idx="8">
                  <c:v>845</c:v>
                </c:pt>
                <c:pt idx="9">
                  <c:v>1056</c:v>
                </c:pt>
                <c:pt idx="10">
                  <c:v>1230</c:v>
                </c:pt>
                <c:pt idx="11">
                  <c:v>1393</c:v>
                </c:pt>
                <c:pt idx="12">
                  <c:v>1591</c:v>
                </c:pt>
                <c:pt idx="13">
                  <c:v>1860</c:v>
                </c:pt>
                <c:pt idx="14">
                  <c:v>2072</c:v>
                </c:pt>
                <c:pt idx="15">
                  <c:v>2250</c:v>
                </c:pt>
                <c:pt idx="16">
                  <c:v>2450</c:v>
                </c:pt>
              </c:numCache>
            </c:numRef>
          </c:val>
          <c:smooth val="0"/>
        </c:ser>
        <c:ser>
          <c:idx val="1"/>
          <c:order val="1"/>
          <c:tx>
            <c:v>WhatsApp</c:v>
          </c:tx>
          <c:spPr>
            <a:ln>
              <a:solidFill>
                <a:srgbClr val="7030A0"/>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Networks'!$E$4:$E$18</c:f>
              <c:numCache>
                <c:formatCode>General</c:formatCode>
                <c:ptCount val="15"/>
                <c:pt idx="0">
                  <c:v>0</c:v>
                </c:pt>
                <c:pt idx="1">
                  <c:v>0</c:v>
                </c:pt>
                <c:pt idx="2">
                  <c:v>0</c:v>
                </c:pt>
                <c:pt idx="3">
                  <c:v>0</c:v>
                </c:pt>
                <c:pt idx="4">
                  <c:v>0</c:v>
                </c:pt>
                <c:pt idx="5">
                  <c:v>0.01</c:v>
                </c:pt>
                <c:pt idx="6">
                  <c:v>0.25</c:v>
                </c:pt>
                <c:pt idx="7">
                  <c:v>5</c:v>
                </c:pt>
                <c:pt idx="8">
                  <c:v>35</c:v>
                </c:pt>
                <c:pt idx="9">
                  <c:v>150</c:v>
                </c:pt>
                <c:pt idx="10">
                  <c:v>400</c:v>
                </c:pt>
                <c:pt idx="11">
                  <c:v>600</c:v>
                </c:pt>
                <c:pt idx="12">
                  <c:v>900</c:v>
                </c:pt>
                <c:pt idx="13">
                  <c:v>1000</c:v>
                </c:pt>
                <c:pt idx="14">
                  <c:v>1500</c:v>
                </c:pt>
              </c:numCache>
            </c:numRef>
          </c:val>
          <c:smooth val="0"/>
        </c:ser>
        <c:ser>
          <c:idx val="2"/>
          <c:order val="2"/>
          <c:tx>
            <c:v>WeChat</c:v>
          </c:tx>
          <c:spPr>
            <a:ln>
              <a:solidFill>
                <a:srgbClr val="FF0000"/>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Networks'!$G$4:$G$20</c:f>
              <c:numCache>
                <c:formatCode>General</c:formatCode>
                <c:ptCount val="17"/>
                <c:pt idx="0">
                  <c:v>0</c:v>
                </c:pt>
                <c:pt idx="1">
                  <c:v>0</c:v>
                </c:pt>
                <c:pt idx="2">
                  <c:v>0</c:v>
                </c:pt>
                <c:pt idx="3">
                  <c:v>0</c:v>
                </c:pt>
                <c:pt idx="4">
                  <c:v>0</c:v>
                </c:pt>
                <c:pt idx="5">
                  <c:v>0</c:v>
                </c:pt>
                <c:pt idx="6">
                  <c:v>0</c:v>
                </c:pt>
                <c:pt idx="7">
                  <c:v>0</c:v>
                </c:pt>
                <c:pt idx="8">
                  <c:v>50</c:v>
                </c:pt>
                <c:pt idx="9">
                  <c:v>160</c:v>
                </c:pt>
                <c:pt idx="10">
                  <c:v>355</c:v>
                </c:pt>
                <c:pt idx="11">
                  <c:v>500</c:v>
                </c:pt>
                <c:pt idx="12">
                  <c:v>697</c:v>
                </c:pt>
                <c:pt idx="13">
                  <c:v>889</c:v>
                </c:pt>
                <c:pt idx="14">
                  <c:v>980</c:v>
                </c:pt>
                <c:pt idx="15">
                  <c:v>1100</c:v>
                </c:pt>
                <c:pt idx="16">
                  <c:v>1160</c:v>
                </c:pt>
              </c:numCache>
            </c:numRef>
          </c:val>
          <c:smooth val="0"/>
        </c:ser>
        <c:ser>
          <c:idx val="3"/>
          <c:order val="3"/>
          <c:tx>
            <c:v>Instagram</c:v>
          </c:tx>
          <c:spPr>
            <a:ln>
              <a:solidFill>
                <a:srgbClr val="FFC000"/>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Networks'!$I$4:$I$19</c:f>
              <c:numCache>
                <c:formatCode>General</c:formatCode>
                <c:ptCount val="16"/>
                <c:pt idx="0">
                  <c:v>0</c:v>
                </c:pt>
                <c:pt idx="1">
                  <c:v>0</c:v>
                </c:pt>
                <c:pt idx="2">
                  <c:v>0</c:v>
                </c:pt>
                <c:pt idx="3">
                  <c:v>0</c:v>
                </c:pt>
                <c:pt idx="4">
                  <c:v>0</c:v>
                </c:pt>
                <c:pt idx="5">
                  <c:v>0</c:v>
                </c:pt>
                <c:pt idx="6">
                  <c:v>0</c:v>
                </c:pt>
                <c:pt idx="7">
                  <c:v>1</c:v>
                </c:pt>
                <c:pt idx="8">
                  <c:v>10</c:v>
                </c:pt>
                <c:pt idx="9">
                  <c:v>80</c:v>
                </c:pt>
                <c:pt idx="10">
                  <c:v>150</c:v>
                </c:pt>
                <c:pt idx="11">
                  <c:v>300</c:v>
                </c:pt>
                <c:pt idx="12">
                  <c:v>400</c:v>
                </c:pt>
                <c:pt idx="13">
                  <c:v>600</c:v>
                </c:pt>
                <c:pt idx="14">
                  <c:v>800</c:v>
                </c:pt>
                <c:pt idx="15">
                  <c:v>1000</c:v>
                </c:pt>
              </c:numCache>
            </c:numRef>
          </c:val>
          <c:smooth val="0"/>
        </c:ser>
        <c:ser>
          <c:idx val="4"/>
          <c:order val="4"/>
          <c:tx>
            <c:v>LinkedIn</c:v>
          </c:tx>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Networks'!$M$4:$M$17</c:f>
              <c:numCache>
                <c:formatCode>General</c:formatCode>
                <c:ptCount val="14"/>
                <c:pt idx="0">
                  <c:v>0</c:v>
                </c:pt>
                <c:pt idx="1">
                  <c:v>0</c:v>
                </c:pt>
                <c:pt idx="2">
                  <c:v>0</c:v>
                </c:pt>
                <c:pt idx="3">
                  <c:v>1.6E-2</c:v>
                </c:pt>
                <c:pt idx="4">
                  <c:v>0.70199999999999996</c:v>
                </c:pt>
                <c:pt idx="5">
                  <c:v>4</c:v>
                </c:pt>
                <c:pt idx="6">
                  <c:v>18</c:v>
                </c:pt>
                <c:pt idx="7">
                  <c:v>54</c:v>
                </c:pt>
                <c:pt idx="8">
                  <c:v>117</c:v>
                </c:pt>
                <c:pt idx="9">
                  <c:v>185</c:v>
                </c:pt>
                <c:pt idx="10">
                  <c:v>241</c:v>
                </c:pt>
                <c:pt idx="11">
                  <c:v>288</c:v>
                </c:pt>
                <c:pt idx="12">
                  <c:v>305</c:v>
                </c:pt>
                <c:pt idx="13">
                  <c:v>319</c:v>
                </c:pt>
              </c:numCache>
            </c:numRef>
          </c:val>
          <c:smooth val="0"/>
        </c:ser>
        <c:ser>
          <c:idx val="6"/>
          <c:order val="6"/>
          <c:tx>
            <c:v>connect (Realistic)</c:v>
          </c:tx>
          <c:spPr>
            <a:ln>
              <a:solidFill>
                <a:srgbClr val="6DC71B"/>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Networks'!$Q$4:$Q$26</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formatCode="#,##0.00">
                  <c:v>5.5007231534220366E-2</c:v>
                </c:pt>
                <c:pt idx="18" formatCode="#,##0.00">
                  <c:v>0.26211723812496734</c:v>
                </c:pt>
                <c:pt idx="19" formatCode="#,##0.00">
                  <c:v>2.0163530394777931</c:v>
                </c:pt>
                <c:pt idx="20" formatCode="#,##0.00">
                  <c:v>5.8912056794336474</c:v>
                </c:pt>
                <c:pt idx="21" formatCode="#,##0.00">
                  <c:v>14.010941670429698</c:v>
                </c:pt>
                <c:pt idx="22" formatCode="#,##0.00">
                  <c:v>25.294677306404136</c:v>
                </c:pt>
              </c:numCache>
            </c:numRef>
          </c:val>
          <c:smooth val="0"/>
        </c:ser>
        <c:ser>
          <c:idx val="7"/>
          <c:order val="7"/>
          <c:tx>
            <c:v>connect (You)</c:v>
          </c:tx>
          <c:spPr>
            <a:ln>
              <a:solidFill>
                <a:schemeClr val="accent6">
                  <a:lumMod val="75000"/>
                </a:schemeClr>
              </a:solidFill>
            </a:ln>
          </c:spPr>
          <c:marker>
            <c:symbol val="none"/>
          </c:marker>
          <c:val>
            <c:numRef>
              <c:f>'Comparision successful Networks'!$O$4:$O$26</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formatCode="#,##0.00">
                  <c:v>2.6787965261703416E-2</c:v>
                </c:pt>
                <c:pt idx="18" formatCode="#,##0.00">
                  <c:v>3.8454597338960603E-2</c:v>
                </c:pt>
                <c:pt idx="19" formatCode="#,##0.00">
                  <c:v>3.8454597338960603E-2</c:v>
                </c:pt>
                <c:pt idx="20" formatCode="#,##0.00">
                  <c:v>3.8454597338960603E-2</c:v>
                </c:pt>
                <c:pt idx="21" formatCode="#,##0.00">
                  <c:v>3.8454597338960603E-2</c:v>
                </c:pt>
                <c:pt idx="22" formatCode="#,##0.00">
                  <c:v>3.8454597338960603E-2</c:v>
                </c:pt>
              </c:numCache>
            </c:numRef>
          </c:val>
          <c:smooth val="0"/>
        </c:ser>
        <c:dLbls>
          <c:showLegendKey val="0"/>
          <c:showVal val="0"/>
          <c:showCatName val="0"/>
          <c:showSerName val="0"/>
          <c:showPercent val="0"/>
          <c:showBubbleSize val="0"/>
        </c:dLbls>
        <c:marker val="1"/>
        <c:smooth val="0"/>
        <c:axId val="174909440"/>
        <c:axId val="173425792"/>
      </c:lineChart>
      <c:catAx>
        <c:axId val="174909440"/>
        <c:scaling>
          <c:orientation val="minMax"/>
        </c:scaling>
        <c:delete val="0"/>
        <c:axPos val="b"/>
        <c:numFmt formatCode="@" sourceLinked="0"/>
        <c:majorTickMark val="out"/>
        <c:minorTickMark val="none"/>
        <c:tickLblPos val="nextTo"/>
        <c:crossAx val="173425792"/>
        <c:crosses val="autoZero"/>
        <c:auto val="1"/>
        <c:lblAlgn val="ctr"/>
        <c:lblOffset val="100"/>
        <c:noMultiLvlLbl val="0"/>
      </c:catAx>
      <c:valAx>
        <c:axId val="173425792"/>
        <c:scaling>
          <c:orientation val="minMax"/>
        </c:scaling>
        <c:delete val="0"/>
        <c:axPos val="l"/>
        <c:majorGridlines/>
        <c:numFmt formatCode="General" sourceLinked="1"/>
        <c:majorTickMark val="out"/>
        <c:minorTickMark val="none"/>
        <c:tickLblPos val="nextTo"/>
        <c:crossAx val="174909440"/>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val>
            <c:numRef>
              <c:f>'Comparision successful Networks'!$C$5:$C$18</c:f>
              <c:numCache>
                <c:formatCode>General</c:formatCode>
                <c:ptCount val="14"/>
                <c:pt idx="0">
                  <c:v>1</c:v>
                </c:pt>
                <c:pt idx="1">
                  <c:v>6</c:v>
                </c:pt>
                <c:pt idx="2">
                  <c:v>12</c:v>
                </c:pt>
                <c:pt idx="3">
                  <c:v>58</c:v>
                </c:pt>
                <c:pt idx="4">
                  <c:v>145</c:v>
                </c:pt>
                <c:pt idx="5">
                  <c:v>360</c:v>
                </c:pt>
                <c:pt idx="6">
                  <c:v>608</c:v>
                </c:pt>
                <c:pt idx="7">
                  <c:v>845</c:v>
                </c:pt>
                <c:pt idx="8">
                  <c:v>1056</c:v>
                </c:pt>
                <c:pt idx="9">
                  <c:v>1230</c:v>
                </c:pt>
                <c:pt idx="10">
                  <c:v>1393</c:v>
                </c:pt>
                <c:pt idx="11">
                  <c:v>1591</c:v>
                </c:pt>
                <c:pt idx="12">
                  <c:v>1860</c:v>
                </c:pt>
                <c:pt idx="13">
                  <c:v>2072</c:v>
                </c:pt>
              </c:numCache>
            </c:numRef>
          </c:val>
          <c:smooth val="0"/>
        </c:ser>
        <c:ser>
          <c:idx val="1"/>
          <c:order val="1"/>
          <c:tx>
            <c:v>WhatsApp</c:v>
          </c:tx>
          <c:spPr>
            <a:ln>
              <a:solidFill>
                <a:srgbClr val="7030A0"/>
              </a:solidFill>
            </a:ln>
          </c:spPr>
          <c:marker>
            <c:symbol val="none"/>
          </c:marker>
          <c:val>
            <c:numRef>
              <c:f>'Comparision successful Networks'!$E$9:$E$18</c:f>
              <c:numCache>
                <c:formatCode>General</c:formatCode>
                <c:ptCount val="10"/>
                <c:pt idx="0">
                  <c:v>0.01</c:v>
                </c:pt>
                <c:pt idx="1">
                  <c:v>0.25</c:v>
                </c:pt>
                <c:pt idx="2">
                  <c:v>5</c:v>
                </c:pt>
                <c:pt idx="3">
                  <c:v>35</c:v>
                </c:pt>
                <c:pt idx="4">
                  <c:v>150</c:v>
                </c:pt>
                <c:pt idx="5">
                  <c:v>400</c:v>
                </c:pt>
                <c:pt idx="6">
                  <c:v>600</c:v>
                </c:pt>
                <c:pt idx="7">
                  <c:v>900</c:v>
                </c:pt>
                <c:pt idx="8">
                  <c:v>1000</c:v>
                </c:pt>
                <c:pt idx="9">
                  <c:v>1500</c:v>
                </c:pt>
              </c:numCache>
            </c:numRef>
          </c:val>
          <c:smooth val="0"/>
        </c:ser>
        <c:ser>
          <c:idx val="2"/>
          <c:order val="2"/>
          <c:tx>
            <c:v>WeChat</c:v>
          </c:tx>
          <c:spPr>
            <a:ln>
              <a:solidFill>
                <a:srgbClr val="FF0000"/>
              </a:solidFill>
            </a:ln>
          </c:spPr>
          <c:marker>
            <c:symbol val="none"/>
          </c:marker>
          <c:val>
            <c:numRef>
              <c:f>'Comparision successful Networks'!$G$12:$G$18</c:f>
              <c:numCache>
                <c:formatCode>General</c:formatCode>
                <c:ptCount val="7"/>
                <c:pt idx="0">
                  <c:v>50</c:v>
                </c:pt>
                <c:pt idx="1">
                  <c:v>160</c:v>
                </c:pt>
                <c:pt idx="2">
                  <c:v>355</c:v>
                </c:pt>
                <c:pt idx="3">
                  <c:v>500</c:v>
                </c:pt>
                <c:pt idx="4">
                  <c:v>697</c:v>
                </c:pt>
                <c:pt idx="5">
                  <c:v>889</c:v>
                </c:pt>
                <c:pt idx="6">
                  <c:v>980</c:v>
                </c:pt>
              </c:numCache>
            </c:numRef>
          </c:val>
          <c:smooth val="0"/>
        </c:ser>
        <c:ser>
          <c:idx val="3"/>
          <c:order val="3"/>
          <c:tx>
            <c:v>Instagram</c:v>
          </c:tx>
          <c:spPr>
            <a:ln>
              <a:solidFill>
                <a:srgbClr val="FFC000"/>
              </a:solidFill>
            </a:ln>
          </c:spPr>
          <c:marker>
            <c:symbol val="none"/>
          </c:marker>
          <c:val>
            <c:numRef>
              <c:f>'Comparision successful Networks'!$I$11:$I$18</c:f>
              <c:numCache>
                <c:formatCode>General</c:formatCode>
                <c:ptCount val="8"/>
                <c:pt idx="0">
                  <c:v>1</c:v>
                </c:pt>
                <c:pt idx="1">
                  <c:v>10</c:v>
                </c:pt>
                <c:pt idx="2">
                  <c:v>80</c:v>
                </c:pt>
                <c:pt idx="3">
                  <c:v>150</c:v>
                </c:pt>
                <c:pt idx="4">
                  <c:v>300</c:v>
                </c:pt>
                <c:pt idx="5">
                  <c:v>400</c:v>
                </c:pt>
                <c:pt idx="6">
                  <c:v>600</c:v>
                </c:pt>
                <c:pt idx="7">
                  <c:v>800</c:v>
                </c:pt>
              </c:numCache>
            </c:numRef>
          </c:val>
          <c:smooth val="0"/>
        </c:ser>
        <c:ser>
          <c:idx val="4"/>
          <c:order val="4"/>
          <c:tx>
            <c:v>LinkedIn</c:v>
          </c:tx>
          <c:spPr>
            <a:ln>
              <a:solidFill>
                <a:schemeClr val="accent5">
                  <a:lumMod val="75000"/>
                </a:schemeClr>
              </a:solidFill>
            </a:ln>
          </c:spPr>
          <c:marker>
            <c:symbol val="none"/>
          </c:marker>
          <c:val>
            <c:numRef>
              <c:f>'Comparision successful Networks'!$K$4:$K$16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val>
            <c:numRef>
              <c:f>'Comparision successful Networks'!$M$7:$M$17</c:f>
              <c:numCache>
                <c:formatCode>General</c:formatCode>
                <c:ptCount val="11"/>
                <c:pt idx="0">
                  <c:v>1.6E-2</c:v>
                </c:pt>
                <c:pt idx="1">
                  <c:v>0.70199999999999996</c:v>
                </c:pt>
                <c:pt idx="2">
                  <c:v>4</c:v>
                </c:pt>
                <c:pt idx="3">
                  <c:v>18</c:v>
                </c:pt>
                <c:pt idx="4">
                  <c:v>54</c:v>
                </c:pt>
                <c:pt idx="5">
                  <c:v>117</c:v>
                </c:pt>
                <c:pt idx="6">
                  <c:v>185</c:v>
                </c:pt>
                <c:pt idx="7">
                  <c:v>241</c:v>
                </c:pt>
                <c:pt idx="8">
                  <c:v>288</c:v>
                </c:pt>
                <c:pt idx="9">
                  <c:v>305</c:v>
                </c:pt>
                <c:pt idx="10">
                  <c:v>319</c:v>
                </c:pt>
              </c:numCache>
            </c:numRef>
          </c:val>
          <c:smooth val="0"/>
        </c:ser>
        <c:ser>
          <c:idx val="6"/>
          <c:order val="6"/>
          <c:tx>
            <c:v>connect (Wir)</c:v>
          </c:tx>
          <c:spPr>
            <a:ln>
              <a:solidFill>
                <a:srgbClr val="6DC71B"/>
              </a:solidFill>
            </a:ln>
          </c:spPr>
          <c:marker>
            <c:symbol val="none"/>
          </c:marker>
          <c:val>
            <c:numRef>
              <c:f>'Comparision successful Networks'!$Q$21:$Q$26</c:f>
              <c:numCache>
                <c:formatCode>#,##0.00</c:formatCode>
                <c:ptCount val="6"/>
                <c:pt idx="0">
                  <c:v>5.5007231534220366E-2</c:v>
                </c:pt>
                <c:pt idx="1">
                  <c:v>0.26211723812496734</c:v>
                </c:pt>
                <c:pt idx="2">
                  <c:v>2.0163530394777931</c:v>
                </c:pt>
                <c:pt idx="3">
                  <c:v>5.8912056794336474</c:v>
                </c:pt>
                <c:pt idx="4">
                  <c:v>14.010941670429698</c:v>
                </c:pt>
                <c:pt idx="5">
                  <c:v>25.294677306404136</c:v>
                </c:pt>
              </c:numCache>
            </c:numRef>
          </c:val>
          <c:smooth val="0"/>
        </c:ser>
        <c:ser>
          <c:idx val="7"/>
          <c:order val="7"/>
          <c:tx>
            <c:v>connect (Sie)</c:v>
          </c:tx>
          <c:spPr>
            <a:ln>
              <a:solidFill>
                <a:schemeClr val="accent6">
                  <a:lumMod val="75000"/>
                </a:schemeClr>
              </a:solidFill>
            </a:ln>
          </c:spPr>
          <c:marker>
            <c:symbol val="none"/>
          </c:marker>
          <c:val>
            <c:numRef>
              <c:f>'Comparision successful Networks'!$O$21:$O$26</c:f>
              <c:numCache>
                <c:formatCode>#,##0.00</c:formatCode>
                <c:ptCount val="6"/>
                <c:pt idx="0">
                  <c:v>2.6787965261703416E-2</c:v>
                </c:pt>
                <c:pt idx="1">
                  <c:v>3.8454597338960603E-2</c:v>
                </c:pt>
                <c:pt idx="2">
                  <c:v>3.8454597338960603E-2</c:v>
                </c:pt>
                <c:pt idx="3">
                  <c:v>3.8454597338960603E-2</c:v>
                </c:pt>
                <c:pt idx="4">
                  <c:v>3.8454597338960603E-2</c:v>
                </c:pt>
                <c:pt idx="5">
                  <c:v>3.8454597338960603E-2</c:v>
                </c:pt>
              </c:numCache>
            </c:numRef>
          </c:val>
          <c:smooth val="0"/>
        </c:ser>
        <c:dLbls>
          <c:showLegendKey val="0"/>
          <c:showVal val="0"/>
          <c:showCatName val="0"/>
          <c:showSerName val="0"/>
          <c:showPercent val="0"/>
          <c:showBubbleSize val="0"/>
        </c:dLbls>
        <c:marker val="1"/>
        <c:smooth val="0"/>
        <c:axId val="72286720"/>
        <c:axId val="140369920"/>
      </c:lineChart>
      <c:catAx>
        <c:axId val="72286720"/>
        <c:scaling>
          <c:orientation val="minMax"/>
        </c:scaling>
        <c:delete val="0"/>
        <c:axPos val="b"/>
        <c:numFmt formatCode="General" sourceLinked="1"/>
        <c:majorTickMark val="out"/>
        <c:minorTickMark val="none"/>
        <c:tickLblPos val="nextTo"/>
        <c:crossAx val="140369920"/>
        <c:crosses val="autoZero"/>
        <c:auto val="1"/>
        <c:lblAlgn val="ctr"/>
        <c:lblOffset val="100"/>
        <c:noMultiLvlLbl val="0"/>
      </c:catAx>
      <c:valAx>
        <c:axId val="140369920"/>
        <c:scaling>
          <c:orientation val="minMax"/>
        </c:scaling>
        <c:delete val="0"/>
        <c:axPos val="l"/>
        <c:majorGridlines/>
        <c:numFmt formatCode="General" sourceLinked="1"/>
        <c:majorTickMark val="out"/>
        <c:minorTickMark val="none"/>
        <c:tickLblPos val="nextTo"/>
        <c:crossAx val="72286720"/>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chart" Target="../charts/chart10.xml"/><Relationship Id="rId4" Type="http://schemas.openxmlformats.org/officeDocument/2006/relationships/chart" Target="../charts/chart9.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chart" Target="../charts/chart15.xml"/><Relationship Id="rId4"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5" Type="http://schemas.openxmlformats.org/officeDocument/2006/relationships/chart" Target="../charts/chart22.xml"/><Relationship Id="rId4" Type="http://schemas.openxmlformats.org/officeDocument/2006/relationships/chart" Target="../charts/chart2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5" Type="http://schemas.openxmlformats.org/officeDocument/2006/relationships/chart" Target="../charts/chart27.xml"/><Relationship Id="rId4" Type="http://schemas.openxmlformats.org/officeDocument/2006/relationships/chart" Target="../charts/chart26.xml"/></Relationships>
</file>

<file path=xl/drawings/_rels/drawing7.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5" Type="http://schemas.openxmlformats.org/officeDocument/2006/relationships/chart" Target="../charts/chart32.xml"/><Relationship Id="rId4" Type="http://schemas.openxmlformats.org/officeDocument/2006/relationships/chart" Target="../charts/chart31.xml"/></Relationships>
</file>

<file path=xl/drawings/_rels/drawing8.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5" Type="http://schemas.openxmlformats.org/officeDocument/2006/relationships/chart" Target="../charts/chart37.xml"/><Relationship Id="rId4" Type="http://schemas.openxmlformats.org/officeDocument/2006/relationships/chart" Target="../charts/chart36.xml"/></Relationships>
</file>

<file path=xl/drawings/drawing1.xml><?xml version="1.0" encoding="utf-8"?>
<xdr:wsDr xmlns:xdr="http://schemas.openxmlformats.org/drawingml/2006/spreadsheetDrawing" xmlns:a="http://schemas.openxmlformats.org/drawingml/2006/main">
  <xdr:twoCellAnchor>
    <xdr:from>
      <xdr:col>1</xdr:col>
      <xdr:colOff>39686</xdr:colOff>
      <xdr:row>49</xdr:row>
      <xdr:rowOff>55563</xdr:rowOff>
    </xdr:from>
    <xdr:to>
      <xdr:col>10</xdr:col>
      <xdr:colOff>567530</xdr:colOff>
      <xdr:row>82</xdr:row>
      <xdr:rowOff>93664</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611185</xdr:colOff>
      <xdr:row>49</xdr:row>
      <xdr:rowOff>63503</xdr:rowOff>
    </xdr:from>
    <xdr:to>
      <xdr:col>19</xdr:col>
      <xdr:colOff>559593</xdr:colOff>
      <xdr:row>82</xdr:row>
      <xdr:rowOff>93666</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47625</xdr:colOff>
      <xdr:row>84</xdr:row>
      <xdr:rowOff>63501</xdr:rowOff>
    </xdr:from>
    <xdr:to>
      <xdr:col>10</xdr:col>
      <xdr:colOff>571500</xdr:colOff>
      <xdr:row>110</xdr:row>
      <xdr:rowOff>73933</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619125</xdr:colOff>
      <xdr:row>84</xdr:row>
      <xdr:rowOff>71438</xdr:rowOff>
    </xdr:from>
    <xdr:to>
      <xdr:col>21</xdr:col>
      <xdr:colOff>3173</xdr:colOff>
      <xdr:row>176</xdr:row>
      <xdr:rowOff>47625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619125</xdr:colOff>
      <xdr:row>84</xdr:row>
      <xdr:rowOff>71437</xdr:rowOff>
    </xdr:from>
    <xdr:to>
      <xdr:col>21</xdr:col>
      <xdr:colOff>3173</xdr:colOff>
      <xdr:row>176</xdr:row>
      <xdr:rowOff>79374</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39686</xdr:colOff>
      <xdr:row>49</xdr:row>
      <xdr:rowOff>55563</xdr:rowOff>
    </xdr:from>
    <xdr:to>
      <xdr:col>10</xdr:col>
      <xdr:colOff>567530</xdr:colOff>
      <xdr:row>82</xdr:row>
      <xdr:rowOff>93664</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611185</xdr:colOff>
      <xdr:row>49</xdr:row>
      <xdr:rowOff>63503</xdr:rowOff>
    </xdr:from>
    <xdr:to>
      <xdr:col>19</xdr:col>
      <xdr:colOff>559593</xdr:colOff>
      <xdr:row>82</xdr:row>
      <xdr:rowOff>93666</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47625</xdr:colOff>
      <xdr:row>84</xdr:row>
      <xdr:rowOff>63501</xdr:rowOff>
    </xdr:from>
    <xdr:to>
      <xdr:col>10</xdr:col>
      <xdr:colOff>571500</xdr:colOff>
      <xdr:row>110</xdr:row>
      <xdr:rowOff>73933</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619125</xdr:colOff>
      <xdr:row>84</xdr:row>
      <xdr:rowOff>71438</xdr:rowOff>
    </xdr:from>
    <xdr:to>
      <xdr:col>21</xdr:col>
      <xdr:colOff>3173</xdr:colOff>
      <xdr:row>176</xdr:row>
      <xdr:rowOff>47625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619125</xdr:colOff>
      <xdr:row>84</xdr:row>
      <xdr:rowOff>71437</xdr:rowOff>
    </xdr:from>
    <xdr:to>
      <xdr:col>21</xdr:col>
      <xdr:colOff>3173</xdr:colOff>
      <xdr:row>176</xdr:row>
      <xdr:rowOff>79374</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39686</xdr:colOff>
      <xdr:row>49</xdr:row>
      <xdr:rowOff>55563</xdr:rowOff>
    </xdr:from>
    <xdr:to>
      <xdr:col>10</xdr:col>
      <xdr:colOff>567530</xdr:colOff>
      <xdr:row>82</xdr:row>
      <xdr:rowOff>93664</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611185</xdr:colOff>
      <xdr:row>49</xdr:row>
      <xdr:rowOff>63503</xdr:rowOff>
    </xdr:from>
    <xdr:to>
      <xdr:col>19</xdr:col>
      <xdr:colOff>559593</xdr:colOff>
      <xdr:row>82</xdr:row>
      <xdr:rowOff>93666</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47625</xdr:colOff>
      <xdr:row>84</xdr:row>
      <xdr:rowOff>63501</xdr:rowOff>
    </xdr:from>
    <xdr:to>
      <xdr:col>10</xdr:col>
      <xdr:colOff>571500</xdr:colOff>
      <xdr:row>110</xdr:row>
      <xdr:rowOff>73933</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619125</xdr:colOff>
      <xdr:row>84</xdr:row>
      <xdr:rowOff>71438</xdr:rowOff>
    </xdr:from>
    <xdr:to>
      <xdr:col>21</xdr:col>
      <xdr:colOff>3173</xdr:colOff>
      <xdr:row>176</xdr:row>
      <xdr:rowOff>47625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619125</xdr:colOff>
      <xdr:row>84</xdr:row>
      <xdr:rowOff>71437</xdr:rowOff>
    </xdr:from>
    <xdr:to>
      <xdr:col>21</xdr:col>
      <xdr:colOff>3173</xdr:colOff>
      <xdr:row>176</xdr:row>
      <xdr:rowOff>79374</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17</xdr:col>
      <xdr:colOff>409576</xdr:colOff>
      <xdr:row>30</xdr:row>
      <xdr:rowOff>171449</xdr:rowOff>
    </xdr:from>
    <xdr:to>
      <xdr:col>29</xdr:col>
      <xdr:colOff>742951</xdr:colOff>
      <xdr:row>59</xdr:row>
      <xdr:rowOff>9524</xdr:rowOff>
    </xdr:to>
    <xdr:graphicFrame macro="">
      <xdr:nvGraphicFramePr>
        <xdr:cNvPr id="6" name="Diagramm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190499</xdr:colOff>
      <xdr:row>30</xdr:row>
      <xdr:rowOff>180975</xdr:rowOff>
    </xdr:from>
    <xdr:to>
      <xdr:col>16</xdr:col>
      <xdr:colOff>304800</xdr:colOff>
      <xdr:row>59</xdr:row>
      <xdr:rowOff>28575</xdr:rowOff>
    </xdr:to>
    <xdr:graphicFrame macro="">
      <xdr:nvGraphicFramePr>
        <xdr:cNvPr id="8" name="Diagramm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39686</xdr:colOff>
      <xdr:row>49</xdr:row>
      <xdr:rowOff>55563</xdr:rowOff>
    </xdr:from>
    <xdr:to>
      <xdr:col>10</xdr:col>
      <xdr:colOff>567530</xdr:colOff>
      <xdr:row>82</xdr:row>
      <xdr:rowOff>93664</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611185</xdr:colOff>
      <xdr:row>49</xdr:row>
      <xdr:rowOff>63503</xdr:rowOff>
    </xdr:from>
    <xdr:to>
      <xdr:col>19</xdr:col>
      <xdr:colOff>559593</xdr:colOff>
      <xdr:row>82</xdr:row>
      <xdr:rowOff>93666</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47625</xdr:colOff>
      <xdr:row>84</xdr:row>
      <xdr:rowOff>63501</xdr:rowOff>
    </xdr:from>
    <xdr:to>
      <xdr:col>10</xdr:col>
      <xdr:colOff>571500</xdr:colOff>
      <xdr:row>110</xdr:row>
      <xdr:rowOff>73933</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619125</xdr:colOff>
      <xdr:row>84</xdr:row>
      <xdr:rowOff>71438</xdr:rowOff>
    </xdr:from>
    <xdr:to>
      <xdr:col>21</xdr:col>
      <xdr:colOff>3173</xdr:colOff>
      <xdr:row>176</xdr:row>
      <xdr:rowOff>47625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619125</xdr:colOff>
      <xdr:row>84</xdr:row>
      <xdr:rowOff>71437</xdr:rowOff>
    </xdr:from>
    <xdr:to>
      <xdr:col>21</xdr:col>
      <xdr:colOff>3173</xdr:colOff>
      <xdr:row>176</xdr:row>
      <xdr:rowOff>79374</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39686</xdr:colOff>
      <xdr:row>49</xdr:row>
      <xdr:rowOff>55563</xdr:rowOff>
    </xdr:from>
    <xdr:to>
      <xdr:col>10</xdr:col>
      <xdr:colOff>567530</xdr:colOff>
      <xdr:row>82</xdr:row>
      <xdr:rowOff>93664</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611185</xdr:colOff>
      <xdr:row>49</xdr:row>
      <xdr:rowOff>63503</xdr:rowOff>
    </xdr:from>
    <xdr:to>
      <xdr:col>19</xdr:col>
      <xdr:colOff>559593</xdr:colOff>
      <xdr:row>82</xdr:row>
      <xdr:rowOff>93666</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47625</xdr:colOff>
      <xdr:row>84</xdr:row>
      <xdr:rowOff>63501</xdr:rowOff>
    </xdr:from>
    <xdr:to>
      <xdr:col>10</xdr:col>
      <xdr:colOff>571500</xdr:colOff>
      <xdr:row>110</xdr:row>
      <xdr:rowOff>73933</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619125</xdr:colOff>
      <xdr:row>84</xdr:row>
      <xdr:rowOff>71438</xdr:rowOff>
    </xdr:from>
    <xdr:to>
      <xdr:col>21</xdr:col>
      <xdr:colOff>3173</xdr:colOff>
      <xdr:row>176</xdr:row>
      <xdr:rowOff>47625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619125</xdr:colOff>
      <xdr:row>84</xdr:row>
      <xdr:rowOff>71437</xdr:rowOff>
    </xdr:from>
    <xdr:to>
      <xdr:col>21</xdr:col>
      <xdr:colOff>3173</xdr:colOff>
      <xdr:row>176</xdr:row>
      <xdr:rowOff>79374</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39686</xdr:colOff>
      <xdr:row>49</xdr:row>
      <xdr:rowOff>55563</xdr:rowOff>
    </xdr:from>
    <xdr:to>
      <xdr:col>10</xdr:col>
      <xdr:colOff>567530</xdr:colOff>
      <xdr:row>82</xdr:row>
      <xdr:rowOff>93664</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611185</xdr:colOff>
      <xdr:row>49</xdr:row>
      <xdr:rowOff>63503</xdr:rowOff>
    </xdr:from>
    <xdr:to>
      <xdr:col>19</xdr:col>
      <xdr:colOff>559593</xdr:colOff>
      <xdr:row>82</xdr:row>
      <xdr:rowOff>93666</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47625</xdr:colOff>
      <xdr:row>84</xdr:row>
      <xdr:rowOff>63501</xdr:rowOff>
    </xdr:from>
    <xdr:to>
      <xdr:col>10</xdr:col>
      <xdr:colOff>571500</xdr:colOff>
      <xdr:row>110</xdr:row>
      <xdr:rowOff>73933</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619125</xdr:colOff>
      <xdr:row>84</xdr:row>
      <xdr:rowOff>71438</xdr:rowOff>
    </xdr:from>
    <xdr:to>
      <xdr:col>21</xdr:col>
      <xdr:colOff>3173</xdr:colOff>
      <xdr:row>176</xdr:row>
      <xdr:rowOff>47625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619125</xdr:colOff>
      <xdr:row>84</xdr:row>
      <xdr:rowOff>71437</xdr:rowOff>
    </xdr:from>
    <xdr:to>
      <xdr:col>21</xdr:col>
      <xdr:colOff>3173</xdr:colOff>
      <xdr:row>176</xdr:row>
      <xdr:rowOff>79374</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39686</xdr:colOff>
      <xdr:row>49</xdr:row>
      <xdr:rowOff>55563</xdr:rowOff>
    </xdr:from>
    <xdr:to>
      <xdr:col>10</xdr:col>
      <xdr:colOff>567530</xdr:colOff>
      <xdr:row>82</xdr:row>
      <xdr:rowOff>93664</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611185</xdr:colOff>
      <xdr:row>49</xdr:row>
      <xdr:rowOff>63503</xdr:rowOff>
    </xdr:from>
    <xdr:to>
      <xdr:col>19</xdr:col>
      <xdr:colOff>559593</xdr:colOff>
      <xdr:row>82</xdr:row>
      <xdr:rowOff>93666</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47625</xdr:colOff>
      <xdr:row>84</xdr:row>
      <xdr:rowOff>63501</xdr:rowOff>
    </xdr:from>
    <xdr:to>
      <xdr:col>10</xdr:col>
      <xdr:colOff>571500</xdr:colOff>
      <xdr:row>110</xdr:row>
      <xdr:rowOff>73933</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619125</xdr:colOff>
      <xdr:row>84</xdr:row>
      <xdr:rowOff>71438</xdr:rowOff>
    </xdr:from>
    <xdr:to>
      <xdr:col>21</xdr:col>
      <xdr:colOff>3173</xdr:colOff>
      <xdr:row>176</xdr:row>
      <xdr:rowOff>47625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619125</xdr:colOff>
      <xdr:row>84</xdr:row>
      <xdr:rowOff>71437</xdr:rowOff>
    </xdr:from>
    <xdr:to>
      <xdr:col>21</xdr:col>
      <xdr:colOff>3173</xdr:colOff>
      <xdr:row>176</xdr:row>
      <xdr:rowOff>79374</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2.xml.rels><?xml version="1.0" encoding="UTF-8" standalone="yes"?>
<Relationships xmlns="http://schemas.openxmlformats.org/package/2006/relationships"><Relationship Id="rId3" Type="http://schemas.openxmlformats.org/officeDocument/2006/relationships/hyperlink" Target="https://sweetpricing.com/blog/2016/10/mobile-app-monetization-stats/" TargetMode="External"/><Relationship Id="rId7" Type="http://schemas.openxmlformats.org/officeDocument/2006/relationships/comments" Target="../comments1.xml"/><Relationship Id="rId2" Type="http://schemas.openxmlformats.org/officeDocument/2006/relationships/hyperlink" Target="https://www.appsflyer.com/pr/new-report-global-app-spending-habits-finds-asian-consumers-spend-40-apps-rest-world/" TargetMode="External"/><Relationship Id="rId1" Type="http://schemas.openxmlformats.org/officeDocument/2006/relationships/hyperlink" Target="https://www.invespcro.com/blog/in-app-purchase-revenue/" TargetMode="External"/><Relationship Id="rId6" Type="http://schemas.openxmlformats.org/officeDocument/2006/relationships/vmlDrawing" Target="../drawings/vmlDrawing1.vml"/><Relationship Id="rId5" Type="http://schemas.openxmlformats.org/officeDocument/2006/relationships/printerSettings" Target="../printerSettings/printerSettings2.bin"/><Relationship Id="rId4" Type="http://schemas.openxmlformats.org/officeDocument/2006/relationships/hyperlink" Target="https://de.statista.com/outlook/212/100/online-games/weltweit"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https://en.wikipedia.org/wiki/List_of_social_networking_websites"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B75"/>
  <sheetViews>
    <sheetView zoomScale="120" zoomScaleNormal="120" workbookViewId="0">
      <pane xSplit="2" topLeftCell="C1" activePane="topRight" state="frozen"/>
      <selection pane="topRight" activeCell="A107" sqref="A107"/>
    </sheetView>
  </sheetViews>
  <sheetFormatPr baseColWidth="10" defaultRowHeight="12.75" x14ac:dyDescent="0.2"/>
  <cols>
    <col min="1" max="1" width="9.7109375" style="41" customWidth="1"/>
    <col min="2" max="2" width="11" style="42" customWidth="1"/>
    <col min="3" max="3" width="8.140625" style="43" customWidth="1"/>
    <col min="4" max="5" width="8.140625" style="44" customWidth="1"/>
    <col min="6" max="9" width="9.5703125" style="44" customWidth="1"/>
    <col min="10" max="20" width="9.85546875" style="44" customWidth="1"/>
    <col min="21" max="23" width="11.140625" style="44" customWidth="1"/>
    <col min="24" max="24" width="2.140625" style="45" customWidth="1"/>
    <col min="25" max="25" width="10.7109375" style="44" customWidth="1"/>
    <col min="26" max="40" width="10.7109375" style="46" customWidth="1"/>
    <col min="41" max="45" width="10.7109375" style="41" customWidth="1"/>
    <col min="46" max="60" width="10.7109375" style="46" customWidth="1"/>
    <col min="61" max="65" width="10.7109375" style="41" customWidth="1"/>
    <col min="66" max="80" width="10.7109375" style="46" customWidth="1"/>
    <col min="81" max="85" width="10.7109375" style="41" customWidth="1"/>
    <col min="86" max="16384" width="11.42578125" style="41"/>
  </cols>
  <sheetData>
    <row r="1" spans="2:20" ht="13.5" thickBot="1" x14ac:dyDescent="0.25"/>
    <row r="2" spans="2:20" ht="5.25" customHeight="1" x14ac:dyDescent="0.2">
      <c r="B2" s="376"/>
      <c r="C2" s="377"/>
      <c r="D2" s="378"/>
      <c r="E2" s="378"/>
      <c r="F2" s="378"/>
      <c r="G2" s="378"/>
      <c r="H2" s="378"/>
      <c r="I2" s="378"/>
      <c r="J2" s="378"/>
      <c r="K2" s="378"/>
      <c r="L2" s="378"/>
      <c r="M2" s="378"/>
      <c r="N2" s="378"/>
      <c r="O2" s="378"/>
      <c r="P2" s="378"/>
      <c r="Q2" s="378"/>
      <c r="R2" s="378"/>
      <c r="S2" s="378"/>
      <c r="T2" s="379"/>
    </row>
    <row r="3" spans="2:20" ht="21" customHeight="1" x14ac:dyDescent="0.2">
      <c r="B3" s="380"/>
      <c r="C3" s="403" t="s">
        <v>210</v>
      </c>
      <c r="D3" s="381"/>
      <c r="E3" s="381"/>
      <c r="F3" s="381"/>
      <c r="G3" s="381"/>
      <c r="H3" s="381"/>
      <c r="I3" s="381"/>
      <c r="J3" s="381"/>
      <c r="K3" s="381"/>
      <c r="L3" s="381"/>
      <c r="M3" s="381"/>
      <c r="N3" s="381"/>
      <c r="O3" s="381"/>
      <c r="P3" s="381"/>
      <c r="Q3" s="381"/>
      <c r="R3" s="381"/>
      <c r="S3" s="381"/>
      <c r="T3" s="382"/>
    </row>
    <row r="4" spans="2:20" ht="5.25" customHeight="1" x14ac:dyDescent="0.2">
      <c r="B4" s="383"/>
      <c r="C4" s="384"/>
      <c r="D4" s="385"/>
      <c r="E4" s="385"/>
      <c r="F4" s="385"/>
      <c r="G4" s="385"/>
      <c r="H4" s="385"/>
      <c r="I4" s="385"/>
      <c r="J4" s="385"/>
      <c r="K4" s="385"/>
      <c r="L4" s="385"/>
      <c r="M4" s="385"/>
      <c r="N4" s="385"/>
      <c r="O4" s="385"/>
      <c r="P4" s="385"/>
      <c r="Q4" s="385"/>
      <c r="R4" s="385"/>
      <c r="S4" s="385"/>
      <c r="T4" s="386"/>
    </row>
    <row r="5" spans="2:20" ht="17.25" customHeight="1" x14ac:dyDescent="0.2">
      <c r="B5" s="392"/>
      <c r="C5" s="404" t="s">
        <v>211</v>
      </c>
      <c r="D5" s="393"/>
      <c r="E5" s="393"/>
      <c r="F5" s="393"/>
      <c r="G5" s="393"/>
      <c r="H5" s="393"/>
      <c r="I5" s="393"/>
      <c r="J5" s="393"/>
      <c r="K5" s="393"/>
      <c r="L5" s="393"/>
      <c r="M5" s="393"/>
      <c r="N5" s="393"/>
      <c r="O5" s="393"/>
      <c r="P5" s="393"/>
      <c r="Q5" s="393"/>
      <c r="R5" s="393"/>
      <c r="S5" s="393"/>
      <c r="T5" s="394"/>
    </row>
    <row r="6" spans="2:20" ht="17.25" customHeight="1" x14ac:dyDescent="0.2">
      <c r="B6" s="392"/>
      <c r="C6" s="393" t="s">
        <v>55</v>
      </c>
      <c r="D6" s="393"/>
      <c r="E6" s="393"/>
      <c r="F6" s="393"/>
      <c r="G6" s="393"/>
      <c r="H6" s="393"/>
      <c r="I6" s="393"/>
      <c r="J6" s="393"/>
      <c r="K6" s="393"/>
      <c r="L6" s="393"/>
      <c r="M6" s="393"/>
      <c r="N6" s="393"/>
      <c r="O6" s="393"/>
      <c r="P6" s="393"/>
      <c r="Q6" s="393"/>
      <c r="R6" s="393"/>
      <c r="S6" s="393"/>
      <c r="T6" s="394"/>
    </row>
    <row r="7" spans="2:20" ht="17.25" customHeight="1" x14ac:dyDescent="0.2">
      <c r="B7" s="392"/>
      <c r="C7" s="393" t="s">
        <v>207</v>
      </c>
      <c r="D7" s="393"/>
      <c r="E7" s="393"/>
      <c r="F7" s="393"/>
      <c r="G7" s="393"/>
      <c r="H7" s="393"/>
      <c r="I7" s="393"/>
      <c r="J7" s="393"/>
      <c r="K7" s="393"/>
      <c r="L7" s="393"/>
      <c r="M7" s="393"/>
      <c r="N7" s="393"/>
      <c r="O7" s="393"/>
      <c r="P7" s="393"/>
      <c r="Q7" s="393"/>
      <c r="R7" s="393"/>
      <c r="S7" s="393"/>
      <c r="T7" s="394"/>
    </row>
    <row r="8" spans="2:20" ht="17.25" customHeight="1" x14ac:dyDescent="0.2">
      <c r="B8" s="392"/>
      <c r="C8" s="393" t="s">
        <v>56</v>
      </c>
      <c r="D8" s="393"/>
      <c r="E8" s="393"/>
      <c r="F8" s="393"/>
      <c r="G8" s="393"/>
      <c r="H8" s="393"/>
      <c r="I8" s="393"/>
      <c r="J8" s="393"/>
      <c r="K8" s="393"/>
      <c r="L8" s="393"/>
      <c r="M8" s="393"/>
      <c r="N8" s="393"/>
      <c r="O8" s="393"/>
      <c r="P8" s="393"/>
      <c r="Q8" s="393"/>
      <c r="R8" s="393"/>
      <c r="S8" s="393"/>
      <c r="T8" s="394"/>
    </row>
    <row r="9" spans="2:20" ht="17.25" customHeight="1" thickBot="1" x14ac:dyDescent="0.25">
      <c r="B9" s="395"/>
      <c r="C9" s="396" t="s">
        <v>57</v>
      </c>
      <c r="D9" s="396"/>
      <c r="E9" s="396"/>
      <c r="F9" s="396"/>
      <c r="G9" s="396"/>
      <c r="H9" s="396"/>
      <c r="I9" s="396"/>
      <c r="J9" s="396"/>
      <c r="K9" s="396"/>
      <c r="L9" s="396"/>
      <c r="M9" s="396"/>
      <c r="N9" s="396"/>
      <c r="O9" s="396"/>
      <c r="P9" s="396"/>
      <c r="Q9" s="396"/>
      <c r="R9" s="396"/>
      <c r="S9" s="396"/>
      <c r="T9" s="397"/>
    </row>
    <row r="11" spans="2:20" x14ac:dyDescent="0.2">
      <c r="B11" s="42" t="s">
        <v>61</v>
      </c>
      <c r="C11" s="47"/>
    </row>
    <row r="12" spans="2:20" x14ac:dyDescent="0.2">
      <c r="B12" s="42" t="s">
        <v>62</v>
      </c>
    </row>
    <row r="13" spans="2:20" x14ac:dyDescent="0.2">
      <c r="B13" s="515">
        <v>0</v>
      </c>
      <c r="C13" s="516" t="s">
        <v>229</v>
      </c>
      <c r="D13" s="517"/>
      <c r="E13" s="517"/>
      <c r="F13" s="517"/>
      <c r="G13" s="517"/>
      <c r="H13" s="517"/>
      <c r="I13" s="517"/>
      <c r="J13" s="517"/>
      <c r="K13" s="517"/>
      <c r="L13" s="517"/>
      <c r="M13" s="517"/>
      <c r="N13" s="517"/>
      <c r="O13" s="517"/>
      <c r="P13" s="517"/>
      <c r="Q13" s="517"/>
      <c r="R13" s="517"/>
      <c r="S13" s="517"/>
      <c r="T13" s="518"/>
    </row>
    <row r="14" spans="2:20" x14ac:dyDescent="0.2">
      <c r="B14" s="525"/>
      <c r="C14" s="398" t="s">
        <v>58</v>
      </c>
      <c r="D14" s="393"/>
      <c r="E14" s="393"/>
      <c r="F14" s="393"/>
      <c r="G14" s="393"/>
      <c r="H14" s="393"/>
      <c r="I14" s="393"/>
      <c r="J14" s="393"/>
      <c r="K14" s="393"/>
      <c r="L14" s="393"/>
      <c r="M14" s="393"/>
      <c r="N14" s="393"/>
      <c r="O14" s="393"/>
      <c r="P14" s="393"/>
      <c r="Q14" s="393"/>
      <c r="R14" s="393"/>
      <c r="S14" s="393"/>
      <c r="T14" s="399"/>
    </row>
    <row r="15" spans="2:20" x14ac:dyDescent="0.2">
      <c r="B15" s="526" t="s">
        <v>46</v>
      </c>
      <c r="C15" s="398" t="s">
        <v>59</v>
      </c>
      <c r="D15" s="393"/>
      <c r="E15" s="393"/>
      <c r="F15" s="393"/>
      <c r="G15" s="393"/>
      <c r="H15" s="393"/>
      <c r="I15" s="393"/>
      <c r="J15" s="393"/>
      <c r="K15" s="393"/>
      <c r="L15" s="393"/>
      <c r="M15" s="393"/>
      <c r="N15" s="393"/>
      <c r="O15" s="393"/>
      <c r="P15" s="393"/>
      <c r="Q15" s="393"/>
      <c r="R15" s="393"/>
      <c r="S15" s="393"/>
      <c r="T15" s="399"/>
    </row>
    <row r="16" spans="2:20" x14ac:dyDescent="0.2">
      <c r="B16" s="527" t="s">
        <v>47</v>
      </c>
      <c r="C16" s="400" t="s">
        <v>60</v>
      </c>
      <c r="D16" s="401"/>
      <c r="E16" s="401"/>
      <c r="F16" s="401"/>
      <c r="G16" s="401"/>
      <c r="H16" s="401"/>
      <c r="I16" s="401"/>
      <c r="J16" s="401"/>
      <c r="K16" s="401"/>
      <c r="L16" s="401"/>
      <c r="M16" s="401"/>
      <c r="N16" s="401"/>
      <c r="O16" s="401"/>
      <c r="P16" s="401"/>
      <c r="Q16" s="401"/>
      <c r="R16" s="401"/>
      <c r="S16" s="401"/>
      <c r="T16" s="402"/>
    </row>
    <row r="17" spans="2:21" x14ac:dyDescent="0.2">
      <c r="B17" s="528"/>
    </row>
    <row r="18" spans="2:21" x14ac:dyDescent="0.2">
      <c r="B18" s="519">
        <v>0</v>
      </c>
      <c r="C18" s="516" t="s">
        <v>228</v>
      </c>
      <c r="D18" s="517"/>
      <c r="E18" s="517"/>
      <c r="F18" s="517"/>
      <c r="G18" s="517"/>
      <c r="H18" s="517"/>
      <c r="I18" s="517"/>
      <c r="J18" s="517"/>
      <c r="K18" s="517"/>
      <c r="L18" s="517"/>
      <c r="M18" s="517"/>
      <c r="N18" s="517"/>
      <c r="O18" s="517"/>
      <c r="P18" s="517"/>
      <c r="Q18" s="517"/>
      <c r="R18" s="517"/>
      <c r="S18" s="517"/>
      <c r="T18" s="518"/>
    </row>
    <row r="19" spans="2:21" x14ac:dyDescent="0.2">
      <c r="B19" s="525"/>
      <c r="C19" s="398" t="s">
        <v>245</v>
      </c>
      <c r="D19" s="393"/>
      <c r="E19" s="393"/>
      <c r="F19" s="393"/>
      <c r="G19" s="393"/>
      <c r="H19" s="393"/>
      <c r="I19" s="393"/>
      <c r="J19" s="393"/>
      <c r="K19" s="393"/>
      <c r="L19" s="393"/>
      <c r="M19" s="393"/>
      <c r="N19" s="393"/>
      <c r="O19" s="393"/>
      <c r="P19" s="393"/>
      <c r="Q19" s="393"/>
      <c r="R19" s="393"/>
      <c r="S19" s="393"/>
      <c r="T19" s="399"/>
    </row>
    <row r="20" spans="2:21" x14ac:dyDescent="0.2">
      <c r="B20" s="526" t="s">
        <v>49</v>
      </c>
      <c r="C20" s="398" t="s">
        <v>63</v>
      </c>
      <c r="D20" s="393"/>
      <c r="E20" s="393"/>
      <c r="F20" s="393"/>
      <c r="G20" s="393"/>
      <c r="H20" s="393"/>
      <c r="I20" s="393"/>
      <c r="J20" s="393"/>
      <c r="K20" s="393"/>
      <c r="L20" s="393"/>
      <c r="M20" s="393"/>
      <c r="N20" s="393"/>
      <c r="O20" s="393"/>
      <c r="P20" s="393"/>
      <c r="Q20" s="393"/>
      <c r="R20" s="393"/>
      <c r="S20" s="393"/>
      <c r="T20" s="399"/>
    </row>
    <row r="21" spans="2:21" x14ac:dyDescent="0.2">
      <c r="B21" s="527" t="s">
        <v>50</v>
      </c>
      <c r="C21" s="400" t="s">
        <v>64</v>
      </c>
      <c r="D21" s="401"/>
      <c r="E21" s="401"/>
      <c r="F21" s="401"/>
      <c r="G21" s="401"/>
      <c r="H21" s="401"/>
      <c r="I21" s="401"/>
      <c r="J21" s="401"/>
      <c r="K21" s="401"/>
      <c r="L21" s="401"/>
      <c r="M21" s="401"/>
      <c r="N21" s="401"/>
      <c r="O21" s="401"/>
      <c r="P21" s="401"/>
      <c r="Q21" s="401"/>
      <c r="R21" s="401"/>
      <c r="S21" s="401"/>
      <c r="T21" s="402"/>
    </row>
    <row r="22" spans="2:21" x14ac:dyDescent="0.2">
      <c r="B22" s="48"/>
    </row>
    <row r="23" spans="2:21" x14ac:dyDescent="0.2">
      <c r="B23" s="520">
        <v>0</v>
      </c>
      <c r="C23" s="516" t="s">
        <v>227</v>
      </c>
      <c r="D23" s="517"/>
      <c r="E23" s="517"/>
      <c r="F23" s="517"/>
      <c r="G23" s="517"/>
      <c r="H23" s="517"/>
      <c r="I23" s="517"/>
      <c r="J23" s="517"/>
      <c r="K23" s="517"/>
      <c r="L23" s="517"/>
      <c r="M23" s="517"/>
      <c r="N23" s="517"/>
      <c r="O23" s="517"/>
      <c r="P23" s="517"/>
      <c r="Q23" s="517"/>
      <c r="R23" s="517"/>
      <c r="S23" s="517"/>
      <c r="T23" s="518"/>
    </row>
    <row r="24" spans="2:21" x14ac:dyDescent="0.2">
      <c r="B24" s="525"/>
      <c r="C24" s="398" t="s">
        <v>65</v>
      </c>
      <c r="D24" s="393"/>
      <c r="E24" s="393"/>
      <c r="F24" s="393"/>
      <c r="G24" s="393"/>
      <c r="H24" s="393"/>
      <c r="I24" s="393"/>
      <c r="J24" s="393"/>
      <c r="K24" s="393"/>
      <c r="L24" s="393"/>
      <c r="M24" s="393"/>
      <c r="N24" s="393"/>
      <c r="O24" s="393"/>
      <c r="P24" s="393"/>
      <c r="Q24" s="393"/>
      <c r="R24" s="393"/>
      <c r="S24" s="393"/>
      <c r="T24" s="399"/>
    </row>
    <row r="25" spans="2:21" x14ac:dyDescent="0.2">
      <c r="B25" s="526" t="s">
        <v>48</v>
      </c>
      <c r="C25" s="398" t="s">
        <v>246</v>
      </c>
      <c r="D25" s="393"/>
      <c r="E25" s="393"/>
      <c r="F25" s="393"/>
      <c r="G25" s="393"/>
      <c r="H25" s="393"/>
      <c r="I25" s="393"/>
      <c r="J25" s="393"/>
      <c r="K25" s="393"/>
      <c r="L25" s="393"/>
      <c r="M25" s="393"/>
      <c r="N25" s="393"/>
      <c r="O25" s="393"/>
      <c r="P25" s="393"/>
      <c r="Q25" s="393"/>
      <c r="R25" s="393"/>
      <c r="S25" s="393"/>
      <c r="T25" s="399"/>
    </row>
    <row r="26" spans="2:21" x14ac:dyDescent="0.2">
      <c r="B26" s="529"/>
      <c r="C26" s="400" t="s">
        <v>66</v>
      </c>
      <c r="D26" s="401"/>
      <c r="E26" s="401"/>
      <c r="F26" s="401"/>
      <c r="G26" s="401"/>
      <c r="H26" s="401"/>
      <c r="I26" s="401"/>
      <c r="J26" s="401"/>
      <c r="K26" s="401"/>
      <c r="L26" s="401"/>
      <c r="M26" s="401"/>
      <c r="N26" s="401"/>
      <c r="O26" s="401"/>
      <c r="P26" s="401"/>
      <c r="Q26" s="401"/>
      <c r="R26" s="401"/>
      <c r="S26" s="401"/>
      <c r="T26" s="402"/>
    </row>
    <row r="27" spans="2:21" x14ac:dyDescent="0.2">
      <c r="B27" s="48"/>
    </row>
    <row r="28" spans="2:21" x14ac:dyDescent="0.2">
      <c r="B28" s="521">
        <v>0</v>
      </c>
      <c r="C28" s="516" t="s">
        <v>226</v>
      </c>
      <c r="D28" s="517"/>
      <c r="E28" s="517"/>
      <c r="F28" s="517"/>
      <c r="G28" s="517"/>
      <c r="H28" s="517"/>
      <c r="I28" s="517"/>
      <c r="J28" s="517"/>
      <c r="K28" s="517"/>
      <c r="L28" s="517"/>
      <c r="M28" s="517"/>
      <c r="N28" s="517"/>
      <c r="O28" s="517"/>
      <c r="P28" s="517"/>
      <c r="Q28" s="517"/>
      <c r="R28" s="517"/>
      <c r="S28" s="517"/>
      <c r="T28" s="518"/>
    </row>
    <row r="29" spans="2:21" x14ac:dyDescent="0.2">
      <c r="B29" s="525"/>
      <c r="C29" s="398" t="s">
        <v>247</v>
      </c>
      <c r="D29" s="393"/>
      <c r="E29" s="393"/>
      <c r="F29" s="393"/>
      <c r="G29" s="393"/>
      <c r="H29" s="393"/>
      <c r="I29" s="393"/>
      <c r="J29" s="393"/>
      <c r="K29" s="393"/>
      <c r="L29" s="393"/>
      <c r="M29" s="393"/>
      <c r="N29" s="393"/>
      <c r="O29" s="393"/>
      <c r="P29" s="393"/>
      <c r="Q29" s="393"/>
      <c r="R29" s="393"/>
      <c r="S29" s="393"/>
      <c r="T29" s="399"/>
    </row>
    <row r="30" spans="2:21" x14ac:dyDescent="0.2">
      <c r="B30" s="526" t="s">
        <v>52</v>
      </c>
      <c r="C30" s="398" t="s">
        <v>67</v>
      </c>
      <c r="D30" s="393"/>
      <c r="E30" s="393"/>
      <c r="F30" s="393"/>
      <c r="G30" s="393"/>
      <c r="H30" s="393"/>
      <c r="I30" s="393"/>
      <c r="J30" s="393"/>
      <c r="K30" s="393"/>
      <c r="L30" s="393"/>
      <c r="M30" s="393"/>
      <c r="N30" s="393"/>
      <c r="O30" s="393"/>
      <c r="P30" s="393"/>
      <c r="Q30" s="393"/>
      <c r="R30" s="393"/>
      <c r="S30" s="393"/>
      <c r="T30" s="399"/>
    </row>
    <row r="31" spans="2:21" x14ac:dyDescent="0.2">
      <c r="B31" s="530" t="s">
        <v>47</v>
      </c>
      <c r="C31" s="400" t="s">
        <v>68</v>
      </c>
      <c r="D31" s="401"/>
      <c r="E31" s="401"/>
      <c r="F31" s="401"/>
      <c r="G31" s="401"/>
      <c r="H31" s="401"/>
      <c r="I31" s="401"/>
      <c r="J31" s="401"/>
      <c r="K31" s="401"/>
      <c r="L31" s="401"/>
      <c r="M31" s="401"/>
      <c r="N31" s="401"/>
      <c r="O31" s="401"/>
      <c r="P31" s="401"/>
      <c r="Q31" s="401"/>
      <c r="R31" s="401"/>
      <c r="S31" s="401"/>
      <c r="T31" s="402"/>
      <c r="U31" s="45"/>
    </row>
    <row r="32" spans="2:21" x14ac:dyDescent="0.2">
      <c r="B32" s="48"/>
      <c r="U32" s="45"/>
    </row>
    <row r="33" spans="2:21" x14ac:dyDescent="0.2">
      <c r="B33" s="520">
        <v>0</v>
      </c>
      <c r="C33" s="516" t="s">
        <v>225</v>
      </c>
      <c r="D33" s="517"/>
      <c r="E33" s="517"/>
      <c r="F33" s="517"/>
      <c r="G33" s="517"/>
      <c r="H33" s="517"/>
      <c r="I33" s="517"/>
      <c r="J33" s="517"/>
      <c r="K33" s="517"/>
      <c r="L33" s="517"/>
      <c r="M33" s="517"/>
      <c r="N33" s="517"/>
      <c r="O33" s="517"/>
      <c r="P33" s="517"/>
      <c r="Q33" s="517"/>
      <c r="R33" s="517"/>
      <c r="S33" s="517"/>
      <c r="T33" s="518"/>
      <c r="U33" s="45"/>
    </row>
    <row r="34" spans="2:21" x14ac:dyDescent="0.2">
      <c r="B34" s="525"/>
      <c r="C34" s="398" t="s">
        <v>69</v>
      </c>
      <c r="D34" s="393"/>
      <c r="E34" s="393"/>
      <c r="F34" s="393"/>
      <c r="G34" s="393"/>
      <c r="H34" s="393"/>
      <c r="I34" s="393"/>
      <c r="J34" s="393"/>
      <c r="K34" s="393"/>
      <c r="L34" s="393"/>
      <c r="M34" s="393"/>
      <c r="N34" s="393"/>
      <c r="O34" s="393"/>
      <c r="P34" s="393"/>
      <c r="Q34" s="393"/>
      <c r="R34" s="393"/>
      <c r="S34" s="393"/>
      <c r="T34" s="399"/>
      <c r="U34" s="45"/>
    </row>
    <row r="35" spans="2:21" x14ac:dyDescent="0.2">
      <c r="B35" s="526" t="s">
        <v>48</v>
      </c>
      <c r="C35" s="398" t="s">
        <v>71</v>
      </c>
      <c r="D35" s="393"/>
      <c r="E35" s="393"/>
      <c r="F35" s="393"/>
      <c r="G35" s="393"/>
      <c r="H35" s="393"/>
      <c r="I35" s="393"/>
      <c r="J35" s="393"/>
      <c r="K35" s="393"/>
      <c r="L35" s="393"/>
      <c r="M35" s="393"/>
      <c r="N35" s="393"/>
      <c r="O35" s="393"/>
      <c r="P35" s="393"/>
      <c r="Q35" s="393"/>
      <c r="R35" s="393"/>
      <c r="S35" s="393"/>
      <c r="T35" s="399"/>
    </row>
    <row r="36" spans="2:21" x14ac:dyDescent="0.2">
      <c r="B36" s="529"/>
      <c r="C36" s="400" t="s">
        <v>70</v>
      </c>
      <c r="D36" s="401"/>
      <c r="E36" s="401"/>
      <c r="F36" s="401"/>
      <c r="G36" s="401"/>
      <c r="H36" s="401"/>
      <c r="I36" s="401"/>
      <c r="J36" s="401"/>
      <c r="K36" s="401"/>
      <c r="L36" s="401"/>
      <c r="M36" s="401"/>
      <c r="N36" s="401"/>
      <c r="O36" s="401"/>
      <c r="P36" s="401"/>
      <c r="Q36" s="401"/>
      <c r="R36" s="401"/>
      <c r="S36" s="401"/>
      <c r="T36" s="402"/>
    </row>
    <row r="37" spans="2:21" x14ac:dyDescent="0.2">
      <c r="B37" s="48"/>
    </row>
    <row r="38" spans="2:21" x14ac:dyDescent="0.2">
      <c r="B38" s="520">
        <v>0</v>
      </c>
      <c r="C38" s="516" t="s">
        <v>72</v>
      </c>
      <c r="D38" s="517"/>
      <c r="E38" s="517"/>
      <c r="F38" s="517"/>
      <c r="G38" s="517"/>
      <c r="H38" s="517"/>
      <c r="I38" s="517"/>
      <c r="J38" s="517"/>
      <c r="K38" s="517"/>
      <c r="L38" s="517"/>
      <c r="M38" s="517"/>
      <c r="N38" s="517"/>
      <c r="O38" s="517"/>
      <c r="P38" s="517"/>
      <c r="Q38" s="517"/>
      <c r="R38" s="517"/>
      <c r="S38" s="517"/>
      <c r="T38" s="518"/>
    </row>
    <row r="39" spans="2:21" x14ac:dyDescent="0.2">
      <c r="B39" s="525"/>
      <c r="C39" s="398" t="s">
        <v>73</v>
      </c>
      <c r="D39" s="393"/>
      <c r="E39" s="393"/>
      <c r="F39" s="393"/>
      <c r="G39" s="393"/>
      <c r="H39" s="393"/>
      <c r="I39" s="393"/>
      <c r="J39" s="393"/>
      <c r="K39" s="393"/>
      <c r="L39" s="393"/>
      <c r="M39" s="393"/>
      <c r="N39" s="393"/>
      <c r="O39" s="393"/>
      <c r="P39" s="393"/>
      <c r="Q39" s="393"/>
      <c r="R39" s="393"/>
      <c r="S39" s="393"/>
      <c r="T39" s="399"/>
    </row>
    <row r="40" spans="2:21" x14ac:dyDescent="0.2">
      <c r="B40" s="526" t="s">
        <v>48</v>
      </c>
      <c r="C40" s="398" t="s">
        <v>74</v>
      </c>
      <c r="D40" s="393"/>
      <c r="E40" s="393"/>
      <c r="F40" s="393"/>
      <c r="G40" s="393"/>
      <c r="H40" s="393"/>
      <c r="I40" s="393"/>
      <c r="J40" s="393"/>
      <c r="K40" s="393"/>
      <c r="L40" s="393"/>
      <c r="M40" s="393"/>
      <c r="N40" s="393"/>
      <c r="O40" s="393"/>
      <c r="P40" s="393"/>
      <c r="Q40" s="393"/>
      <c r="R40" s="393"/>
      <c r="S40" s="393"/>
      <c r="T40" s="399"/>
    </row>
    <row r="41" spans="2:21" x14ac:dyDescent="0.2">
      <c r="B41" s="529"/>
      <c r="C41" s="400" t="s">
        <v>75</v>
      </c>
      <c r="D41" s="401"/>
      <c r="E41" s="401"/>
      <c r="F41" s="401"/>
      <c r="G41" s="401"/>
      <c r="H41" s="401"/>
      <c r="I41" s="401"/>
      <c r="J41" s="401"/>
      <c r="K41" s="401"/>
      <c r="L41" s="401"/>
      <c r="M41" s="401"/>
      <c r="N41" s="401"/>
      <c r="O41" s="401"/>
      <c r="P41" s="401"/>
      <c r="Q41" s="401"/>
      <c r="R41" s="401"/>
      <c r="S41" s="401"/>
      <c r="T41" s="402"/>
    </row>
    <row r="42" spans="2:21" x14ac:dyDescent="0.2">
      <c r="B42" s="531"/>
    </row>
    <row r="43" spans="2:21" x14ac:dyDescent="0.2">
      <c r="B43" s="520">
        <v>0</v>
      </c>
      <c r="C43" s="516" t="s">
        <v>224</v>
      </c>
      <c r="D43" s="517"/>
      <c r="E43" s="517"/>
      <c r="F43" s="517"/>
      <c r="G43" s="517"/>
      <c r="H43" s="517"/>
      <c r="I43" s="517"/>
      <c r="J43" s="517"/>
      <c r="K43" s="517"/>
      <c r="L43" s="517"/>
      <c r="M43" s="517"/>
      <c r="N43" s="517"/>
      <c r="O43" s="517"/>
      <c r="P43" s="517"/>
      <c r="Q43" s="517"/>
      <c r="R43" s="517"/>
      <c r="S43" s="517"/>
      <c r="T43" s="518"/>
    </row>
    <row r="44" spans="2:21" x14ac:dyDescent="0.2">
      <c r="B44" s="525"/>
      <c r="C44" s="398" t="s">
        <v>76</v>
      </c>
      <c r="D44" s="393"/>
      <c r="E44" s="393"/>
      <c r="F44" s="393"/>
      <c r="G44" s="393"/>
      <c r="H44" s="393"/>
      <c r="I44" s="393"/>
      <c r="J44" s="393"/>
      <c r="K44" s="393"/>
      <c r="L44" s="393"/>
      <c r="M44" s="393"/>
      <c r="N44" s="393"/>
      <c r="O44" s="393"/>
      <c r="P44" s="393"/>
      <c r="Q44" s="393"/>
      <c r="R44" s="393"/>
      <c r="S44" s="393"/>
      <c r="T44" s="399"/>
    </row>
    <row r="45" spans="2:21" x14ac:dyDescent="0.2">
      <c r="B45" s="526" t="s">
        <v>48</v>
      </c>
      <c r="C45" s="398" t="s">
        <v>77</v>
      </c>
      <c r="D45" s="393"/>
      <c r="E45" s="393"/>
      <c r="F45" s="393"/>
      <c r="G45" s="393"/>
      <c r="H45" s="393"/>
      <c r="I45" s="393"/>
      <c r="J45" s="393"/>
      <c r="K45" s="393"/>
      <c r="L45" s="393"/>
      <c r="M45" s="393"/>
      <c r="N45" s="393"/>
      <c r="O45" s="393"/>
      <c r="P45" s="393"/>
      <c r="Q45" s="393"/>
      <c r="R45" s="393"/>
      <c r="S45" s="393"/>
      <c r="T45" s="399"/>
    </row>
    <row r="46" spans="2:21" x14ac:dyDescent="0.2">
      <c r="B46" s="529"/>
      <c r="C46" s="400" t="s">
        <v>78</v>
      </c>
      <c r="D46" s="401"/>
      <c r="E46" s="401"/>
      <c r="F46" s="401"/>
      <c r="G46" s="401"/>
      <c r="H46" s="401"/>
      <c r="I46" s="401"/>
      <c r="J46" s="401"/>
      <c r="K46" s="401"/>
      <c r="L46" s="401"/>
      <c r="M46" s="401"/>
      <c r="N46" s="401"/>
      <c r="O46" s="401"/>
      <c r="P46" s="401"/>
      <c r="Q46" s="401"/>
      <c r="R46" s="401"/>
      <c r="S46" s="401"/>
      <c r="T46" s="402"/>
    </row>
    <row r="47" spans="2:21" x14ac:dyDescent="0.2">
      <c r="B47" s="48"/>
    </row>
    <row r="48" spans="2:21" x14ac:dyDescent="0.2">
      <c r="B48" s="515">
        <v>0</v>
      </c>
      <c r="C48" s="516" t="s">
        <v>230</v>
      </c>
      <c r="D48" s="517"/>
      <c r="E48" s="517"/>
      <c r="F48" s="517"/>
      <c r="G48" s="517"/>
      <c r="H48" s="517"/>
      <c r="I48" s="517"/>
      <c r="J48" s="517"/>
      <c r="K48" s="517"/>
      <c r="L48" s="517"/>
      <c r="M48" s="517"/>
      <c r="N48" s="517"/>
      <c r="O48" s="517"/>
      <c r="P48" s="517"/>
      <c r="Q48" s="517"/>
      <c r="R48" s="517"/>
      <c r="S48" s="517"/>
      <c r="T48" s="518"/>
    </row>
    <row r="49" spans="2:21" x14ac:dyDescent="0.2">
      <c r="B49" s="525"/>
      <c r="C49" s="398" t="s">
        <v>79</v>
      </c>
      <c r="D49" s="393"/>
      <c r="E49" s="393"/>
      <c r="F49" s="393"/>
      <c r="G49" s="393"/>
      <c r="H49" s="393"/>
      <c r="I49" s="393"/>
      <c r="J49" s="393"/>
      <c r="K49" s="393"/>
      <c r="L49" s="393"/>
      <c r="M49" s="393"/>
      <c r="N49" s="393"/>
      <c r="O49" s="393"/>
      <c r="P49" s="393"/>
      <c r="Q49" s="393"/>
      <c r="R49" s="393"/>
      <c r="S49" s="393"/>
      <c r="T49" s="399"/>
    </row>
    <row r="50" spans="2:21" x14ac:dyDescent="0.2">
      <c r="B50" s="526" t="s">
        <v>49</v>
      </c>
      <c r="C50" s="398" t="s">
        <v>80</v>
      </c>
      <c r="D50" s="393"/>
      <c r="E50" s="393"/>
      <c r="F50" s="393"/>
      <c r="G50" s="393"/>
      <c r="H50" s="393"/>
      <c r="I50" s="393"/>
      <c r="J50" s="393"/>
      <c r="K50" s="393"/>
      <c r="L50" s="393"/>
      <c r="M50" s="393"/>
      <c r="N50" s="393"/>
      <c r="O50" s="393"/>
      <c r="P50" s="393"/>
      <c r="Q50" s="393"/>
      <c r="R50" s="393"/>
      <c r="S50" s="393"/>
      <c r="T50" s="399"/>
    </row>
    <row r="51" spans="2:21" x14ac:dyDescent="0.2">
      <c r="B51" s="530" t="s">
        <v>47</v>
      </c>
      <c r="C51" s="400" t="s">
        <v>81</v>
      </c>
      <c r="D51" s="401"/>
      <c r="E51" s="401"/>
      <c r="F51" s="401"/>
      <c r="G51" s="401"/>
      <c r="H51" s="401"/>
      <c r="I51" s="401"/>
      <c r="J51" s="401"/>
      <c r="K51" s="401"/>
      <c r="L51" s="401"/>
      <c r="M51" s="401"/>
      <c r="N51" s="401"/>
      <c r="O51" s="401"/>
      <c r="P51" s="401"/>
      <c r="Q51" s="401"/>
      <c r="R51" s="401"/>
      <c r="S51" s="401"/>
      <c r="T51" s="402"/>
    </row>
    <row r="52" spans="2:21" x14ac:dyDescent="0.2">
      <c r="B52" s="48"/>
      <c r="U52" s="45"/>
    </row>
    <row r="53" spans="2:21" x14ac:dyDescent="0.2">
      <c r="B53" s="515">
        <v>0</v>
      </c>
      <c r="C53" s="516" t="s">
        <v>231</v>
      </c>
      <c r="D53" s="517"/>
      <c r="E53" s="517"/>
      <c r="F53" s="517"/>
      <c r="G53" s="517"/>
      <c r="H53" s="517"/>
      <c r="I53" s="517"/>
      <c r="J53" s="517"/>
      <c r="K53" s="517"/>
      <c r="L53" s="517"/>
      <c r="M53" s="517"/>
      <c r="N53" s="517"/>
      <c r="O53" s="517"/>
      <c r="P53" s="517"/>
      <c r="Q53" s="517"/>
      <c r="R53" s="517"/>
      <c r="S53" s="517"/>
      <c r="T53" s="518"/>
      <c r="U53" s="45"/>
    </row>
    <row r="54" spans="2:21" x14ac:dyDescent="0.2">
      <c r="B54" s="525"/>
      <c r="C54" s="398" t="s">
        <v>82</v>
      </c>
      <c r="D54" s="393"/>
      <c r="E54" s="393"/>
      <c r="F54" s="393"/>
      <c r="G54" s="393"/>
      <c r="H54" s="393"/>
      <c r="I54" s="393"/>
      <c r="J54" s="393"/>
      <c r="K54" s="393"/>
      <c r="L54" s="393"/>
      <c r="M54" s="393"/>
      <c r="N54" s="393"/>
      <c r="O54" s="393"/>
      <c r="P54" s="393"/>
      <c r="Q54" s="393"/>
      <c r="R54" s="393"/>
      <c r="S54" s="393"/>
      <c r="T54" s="399"/>
      <c r="U54" s="45"/>
    </row>
    <row r="55" spans="2:21" x14ac:dyDescent="0.2">
      <c r="B55" s="526" t="s">
        <v>49</v>
      </c>
      <c r="C55" s="398" t="s">
        <v>83</v>
      </c>
      <c r="D55" s="393"/>
      <c r="E55" s="393"/>
      <c r="F55" s="393"/>
      <c r="G55" s="393"/>
      <c r="H55" s="393"/>
      <c r="I55" s="393"/>
      <c r="J55" s="393"/>
      <c r="K55" s="393"/>
      <c r="L55" s="393"/>
      <c r="M55" s="393"/>
      <c r="N55" s="393"/>
      <c r="O55" s="393"/>
      <c r="P55" s="393"/>
      <c r="Q55" s="393"/>
      <c r="R55" s="393"/>
      <c r="S55" s="393"/>
      <c r="T55" s="399"/>
    </row>
    <row r="56" spans="2:21" x14ac:dyDescent="0.2">
      <c r="B56" s="530" t="s">
        <v>47</v>
      </c>
      <c r="C56" s="400" t="s">
        <v>84</v>
      </c>
      <c r="D56" s="401"/>
      <c r="E56" s="401"/>
      <c r="F56" s="401"/>
      <c r="G56" s="401"/>
      <c r="H56" s="401"/>
      <c r="I56" s="401"/>
      <c r="J56" s="401"/>
      <c r="K56" s="401"/>
      <c r="L56" s="401"/>
      <c r="M56" s="401"/>
      <c r="N56" s="401"/>
      <c r="O56" s="401"/>
      <c r="P56" s="401"/>
      <c r="Q56" s="401"/>
      <c r="R56" s="401"/>
      <c r="S56" s="401"/>
      <c r="T56" s="402"/>
    </row>
    <row r="57" spans="2:21" x14ac:dyDescent="0.2">
      <c r="B57" s="48"/>
    </row>
    <row r="58" spans="2:21" x14ac:dyDescent="0.2">
      <c r="B58" s="515">
        <v>0</v>
      </c>
      <c r="C58" s="516" t="s">
        <v>223</v>
      </c>
      <c r="D58" s="517"/>
      <c r="E58" s="517"/>
      <c r="F58" s="517"/>
      <c r="G58" s="517"/>
      <c r="H58" s="517"/>
      <c r="I58" s="517"/>
      <c r="J58" s="517"/>
      <c r="K58" s="517"/>
      <c r="L58" s="517"/>
      <c r="M58" s="517"/>
      <c r="N58" s="517"/>
      <c r="O58" s="517"/>
      <c r="P58" s="517"/>
      <c r="Q58" s="517"/>
      <c r="R58" s="517"/>
      <c r="S58" s="517"/>
      <c r="T58" s="518"/>
    </row>
    <row r="59" spans="2:21" x14ac:dyDescent="0.2">
      <c r="B59" s="525"/>
      <c r="C59" s="398" t="s">
        <v>85</v>
      </c>
      <c r="D59" s="393"/>
      <c r="E59" s="393"/>
      <c r="F59" s="393"/>
      <c r="G59" s="393"/>
      <c r="H59" s="393"/>
      <c r="I59" s="393"/>
      <c r="J59" s="393"/>
      <c r="K59" s="393"/>
      <c r="L59" s="393"/>
      <c r="M59" s="393"/>
      <c r="N59" s="393"/>
      <c r="O59" s="393"/>
      <c r="P59" s="393"/>
      <c r="Q59" s="393"/>
      <c r="R59" s="393"/>
      <c r="S59" s="393"/>
      <c r="T59" s="399"/>
    </row>
    <row r="60" spans="2:21" x14ac:dyDescent="0.2">
      <c r="B60" s="526" t="s">
        <v>49</v>
      </c>
      <c r="C60" s="398" t="s">
        <v>86</v>
      </c>
      <c r="D60" s="393"/>
      <c r="E60" s="393"/>
      <c r="F60" s="393"/>
      <c r="G60" s="393"/>
      <c r="H60" s="393"/>
      <c r="I60" s="393"/>
      <c r="J60" s="393"/>
      <c r="K60" s="393"/>
      <c r="L60" s="393"/>
      <c r="M60" s="393"/>
      <c r="N60" s="393"/>
      <c r="O60" s="393"/>
      <c r="P60" s="393"/>
      <c r="Q60" s="393"/>
      <c r="R60" s="393"/>
      <c r="S60" s="393"/>
      <c r="T60" s="399"/>
    </row>
    <row r="61" spans="2:21" x14ac:dyDescent="0.2">
      <c r="B61" s="530" t="s">
        <v>47</v>
      </c>
      <c r="C61" s="400" t="s">
        <v>87</v>
      </c>
      <c r="D61" s="401"/>
      <c r="E61" s="401"/>
      <c r="F61" s="401"/>
      <c r="G61" s="401"/>
      <c r="H61" s="401"/>
      <c r="I61" s="401"/>
      <c r="J61" s="401"/>
      <c r="K61" s="401"/>
      <c r="L61" s="401"/>
      <c r="M61" s="401"/>
      <c r="N61" s="401"/>
      <c r="O61" s="401"/>
      <c r="P61" s="401"/>
      <c r="Q61" s="401"/>
      <c r="R61" s="401"/>
      <c r="S61" s="401"/>
      <c r="T61" s="402"/>
    </row>
    <row r="62" spans="2:21" x14ac:dyDescent="0.2">
      <c r="B62" s="48"/>
      <c r="C62" s="44"/>
    </row>
    <row r="63" spans="2:21" x14ac:dyDescent="0.2">
      <c r="B63" s="519">
        <v>0</v>
      </c>
      <c r="C63" s="522" t="s">
        <v>222</v>
      </c>
      <c r="D63" s="523"/>
      <c r="E63" s="523"/>
      <c r="F63" s="523"/>
      <c r="G63" s="523"/>
      <c r="H63" s="523"/>
      <c r="I63" s="523"/>
      <c r="J63" s="523"/>
      <c r="K63" s="523"/>
      <c r="L63" s="523"/>
      <c r="M63" s="523"/>
      <c r="N63" s="523"/>
      <c r="O63" s="523"/>
      <c r="P63" s="523"/>
      <c r="Q63" s="523"/>
      <c r="R63" s="523"/>
      <c r="S63" s="523"/>
      <c r="T63" s="524"/>
    </row>
    <row r="64" spans="2:21" x14ac:dyDescent="0.2">
      <c r="B64" s="525"/>
      <c r="C64" s="398" t="s">
        <v>88</v>
      </c>
      <c r="D64" s="393"/>
      <c r="E64" s="393"/>
      <c r="F64" s="393"/>
      <c r="G64" s="393"/>
      <c r="H64" s="393"/>
      <c r="I64" s="393"/>
      <c r="J64" s="393"/>
      <c r="K64" s="393"/>
      <c r="L64" s="393"/>
      <c r="M64" s="393"/>
      <c r="N64" s="393"/>
      <c r="O64" s="393"/>
      <c r="P64" s="393"/>
      <c r="Q64" s="393"/>
      <c r="R64" s="393"/>
      <c r="S64" s="393"/>
      <c r="T64" s="399"/>
    </row>
    <row r="65" spans="2:20" x14ac:dyDescent="0.2">
      <c r="B65" s="526" t="s">
        <v>49</v>
      </c>
      <c r="C65" s="398" t="s">
        <v>89</v>
      </c>
      <c r="D65" s="393"/>
      <c r="E65" s="393"/>
      <c r="F65" s="393"/>
      <c r="G65" s="393"/>
      <c r="H65" s="393"/>
      <c r="I65" s="393"/>
      <c r="J65" s="393"/>
      <c r="K65" s="393"/>
      <c r="L65" s="393"/>
      <c r="M65" s="393"/>
      <c r="N65" s="393"/>
      <c r="O65" s="393"/>
      <c r="P65" s="393"/>
      <c r="Q65" s="393"/>
      <c r="R65" s="393"/>
      <c r="S65" s="393"/>
      <c r="T65" s="399"/>
    </row>
    <row r="66" spans="2:20" x14ac:dyDescent="0.2">
      <c r="B66" s="527" t="s">
        <v>50</v>
      </c>
      <c r="C66" s="400" t="s">
        <v>90</v>
      </c>
      <c r="D66" s="401"/>
      <c r="E66" s="401"/>
      <c r="F66" s="401"/>
      <c r="G66" s="401"/>
      <c r="H66" s="401"/>
      <c r="I66" s="401"/>
      <c r="J66" s="401"/>
      <c r="K66" s="401"/>
      <c r="L66" s="401"/>
      <c r="M66" s="401"/>
      <c r="N66" s="401"/>
      <c r="O66" s="401"/>
      <c r="P66" s="401"/>
      <c r="Q66" s="401"/>
      <c r="R66" s="401"/>
      <c r="S66" s="401"/>
      <c r="T66" s="402"/>
    </row>
    <row r="67" spans="2:20" x14ac:dyDescent="0.2">
      <c r="B67" s="48"/>
    </row>
    <row r="68" spans="2:20" x14ac:dyDescent="0.2">
      <c r="B68" s="521">
        <v>9999</v>
      </c>
      <c r="C68" s="522" t="s">
        <v>232</v>
      </c>
      <c r="D68" s="523"/>
      <c r="E68" s="523"/>
      <c r="F68" s="523"/>
      <c r="G68" s="523"/>
      <c r="H68" s="523"/>
      <c r="I68" s="523"/>
      <c r="J68" s="523"/>
      <c r="K68" s="523"/>
      <c r="L68" s="523"/>
      <c r="M68" s="523"/>
      <c r="N68" s="523"/>
      <c r="O68" s="523"/>
      <c r="P68" s="523"/>
      <c r="Q68" s="523"/>
      <c r="R68" s="523"/>
      <c r="S68" s="523"/>
      <c r="T68" s="524"/>
    </row>
    <row r="69" spans="2:20" x14ac:dyDescent="0.2">
      <c r="B69" s="525"/>
      <c r="C69" s="398" t="s">
        <v>91</v>
      </c>
      <c r="D69" s="393"/>
      <c r="E69" s="393"/>
      <c r="F69" s="393"/>
      <c r="G69" s="393"/>
      <c r="H69" s="393"/>
      <c r="I69" s="393"/>
      <c r="J69" s="393"/>
      <c r="K69" s="393"/>
      <c r="L69" s="393"/>
      <c r="M69" s="393"/>
      <c r="N69" s="393"/>
      <c r="O69" s="393"/>
      <c r="P69" s="393"/>
      <c r="Q69" s="393"/>
      <c r="R69" s="393"/>
      <c r="S69" s="393"/>
      <c r="T69" s="399"/>
    </row>
    <row r="70" spans="2:20" x14ac:dyDescent="0.2">
      <c r="B70" s="526" t="s">
        <v>51</v>
      </c>
      <c r="C70" s="398" t="s">
        <v>248</v>
      </c>
      <c r="D70" s="393"/>
      <c r="E70" s="393"/>
      <c r="F70" s="393"/>
      <c r="G70" s="393"/>
      <c r="H70" s="393"/>
      <c r="I70" s="393"/>
      <c r="J70" s="393"/>
      <c r="K70" s="393"/>
      <c r="L70" s="393"/>
      <c r="M70" s="393"/>
      <c r="N70" s="393"/>
      <c r="O70" s="393"/>
      <c r="P70" s="393"/>
      <c r="Q70" s="393"/>
      <c r="R70" s="393"/>
      <c r="S70" s="393"/>
      <c r="T70" s="399"/>
    </row>
    <row r="71" spans="2:20" x14ac:dyDescent="0.2">
      <c r="B71" s="527" t="s">
        <v>93</v>
      </c>
      <c r="C71" s="400" t="s">
        <v>92</v>
      </c>
      <c r="D71" s="401"/>
      <c r="E71" s="401"/>
      <c r="F71" s="401"/>
      <c r="G71" s="401"/>
      <c r="H71" s="401"/>
      <c r="I71" s="401"/>
      <c r="J71" s="401"/>
      <c r="K71" s="401"/>
      <c r="L71" s="401"/>
      <c r="M71" s="401"/>
      <c r="N71" s="401"/>
      <c r="O71" s="401"/>
      <c r="P71" s="401"/>
      <c r="Q71" s="401"/>
      <c r="R71" s="401"/>
      <c r="S71" s="401"/>
      <c r="T71" s="402"/>
    </row>
    <row r="72" spans="2:20" ht="13.5" thickBot="1" x14ac:dyDescent="0.25"/>
    <row r="73" spans="2:20" ht="5.25" customHeight="1" x14ac:dyDescent="0.2">
      <c r="B73" s="376"/>
      <c r="C73" s="377"/>
      <c r="D73" s="378"/>
      <c r="E73" s="378"/>
      <c r="F73" s="378"/>
      <c r="G73" s="378"/>
      <c r="H73" s="378"/>
      <c r="I73" s="378"/>
      <c r="J73" s="378"/>
      <c r="K73" s="378"/>
      <c r="L73" s="378"/>
      <c r="M73" s="378"/>
      <c r="N73" s="378"/>
      <c r="O73" s="378"/>
      <c r="P73" s="378"/>
      <c r="Q73" s="378"/>
      <c r="R73" s="378"/>
      <c r="S73" s="378"/>
      <c r="T73" s="379"/>
    </row>
    <row r="74" spans="2:20" ht="21" customHeight="1" x14ac:dyDescent="0.2">
      <c r="B74" s="380"/>
      <c r="C74" s="387" t="s">
        <v>94</v>
      </c>
      <c r="D74" s="381"/>
      <c r="E74" s="381"/>
      <c r="F74" s="381"/>
      <c r="G74" s="381"/>
      <c r="H74" s="381"/>
      <c r="I74" s="381"/>
      <c r="J74" s="381"/>
      <c r="K74" s="381"/>
      <c r="L74" s="381"/>
      <c r="M74" s="381"/>
      <c r="N74" s="381"/>
      <c r="O74" s="381"/>
      <c r="P74" s="381"/>
      <c r="Q74" s="381"/>
      <c r="R74" s="381"/>
      <c r="S74" s="381"/>
      <c r="T74" s="382"/>
    </row>
    <row r="75" spans="2:20" ht="5.25" customHeight="1" thickBot="1" x14ac:dyDescent="0.25">
      <c r="B75" s="388"/>
      <c r="C75" s="389"/>
      <c r="D75" s="390"/>
      <c r="E75" s="390"/>
      <c r="F75" s="390"/>
      <c r="G75" s="390"/>
      <c r="H75" s="390"/>
      <c r="I75" s="390"/>
      <c r="J75" s="390"/>
      <c r="K75" s="390"/>
      <c r="L75" s="390"/>
      <c r="M75" s="390"/>
      <c r="N75" s="390"/>
      <c r="O75" s="390"/>
      <c r="P75" s="390"/>
      <c r="Q75" s="390"/>
      <c r="R75" s="390"/>
      <c r="S75" s="390"/>
      <c r="T75" s="391"/>
    </row>
  </sheetData>
  <pageMargins left="0.78740157499999996" right="0.78740157499999996" top="0.984251969" bottom="0.984251969" header="0.4921259845" footer="0.4921259845"/>
  <pageSetup paperSize="9" scale="61" orientation="landscape"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W260"/>
  <sheetViews>
    <sheetView zoomScale="120" zoomScaleNormal="120" workbookViewId="0">
      <pane xSplit="1" topLeftCell="B1" activePane="topRight" state="frozen"/>
      <selection pane="topRight" activeCell="A58" sqref="A58"/>
    </sheetView>
  </sheetViews>
  <sheetFormatPr baseColWidth="10" defaultRowHeight="12.75" x14ac:dyDescent="0.2"/>
  <cols>
    <col min="1" max="1" width="43.42578125" style="44" customWidth="1"/>
    <col min="2" max="3" width="8.140625" style="43" customWidth="1"/>
    <col min="4" max="5" width="8.140625" style="44" customWidth="1"/>
    <col min="6" max="9" width="9.5703125" style="44" customWidth="1"/>
    <col min="10" max="20" width="9.85546875" style="44" customWidth="1"/>
    <col min="21" max="21" width="2.140625" style="44" customWidth="1"/>
    <col min="22" max="24" width="11.140625" style="44" customWidth="1"/>
    <col min="25" max="25" width="2.140625" style="45" customWidth="1"/>
    <col min="26" max="26" width="10.7109375" style="44" customWidth="1"/>
    <col min="27" max="27" width="2.140625" style="45" customWidth="1"/>
    <col min="28" max="42" width="10.7109375" style="46" customWidth="1"/>
    <col min="43" max="47" width="10.7109375" style="41" customWidth="1"/>
    <col min="48" max="48" width="2.140625" style="45" customWidth="1"/>
    <col min="49" max="63" width="10.7109375" style="46" customWidth="1"/>
    <col min="64" max="68" width="10.7109375" style="41" customWidth="1"/>
    <col min="69" max="69" width="2.140625" style="45" customWidth="1"/>
    <col min="70" max="84" width="10.7109375" style="46" customWidth="1"/>
    <col min="85" max="89" width="10.7109375" style="41" customWidth="1"/>
    <col min="90" max="16384" width="11.42578125" style="41"/>
  </cols>
  <sheetData>
    <row r="1" spans="1:179" s="46" customFormat="1" ht="10.5" customHeight="1" x14ac:dyDescent="0.2">
      <c r="A1" s="661" t="s">
        <v>127</v>
      </c>
      <c r="B1" s="663" t="s">
        <v>128</v>
      </c>
      <c r="C1" s="664"/>
      <c r="D1" s="665" t="s">
        <v>108</v>
      </c>
      <c r="E1" s="666"/>
      <c r="F1" s="654" t="s">
        <v>161</v>
      </c>
      <c r="G1" s="655"/>
      <c r="H1" s="655"/>
      <c r="I1" s="656"/>
      <c r="J1" s="90">
        <v>2020</v>
      </c>
      <c r="K1" s="654" t="s">
        <v>185</v>
      </c>
      <c r="L1" s="655"/>
      <c r="M1" s="655"/>
      <c r="N1" s="656"/>
      <c r="O1" s="90">
        <v>2021</v>
      </c>
      <c r="P1" s="654" t="s">
        <v>233</v>
      </c>
      <c r="Q1" s="655"/>
      <c r="R1" s="655"/>
      <c r="S1" s="656"/>
      <c r="T1" s="91">
        <v>2022</v>
      </c>
      <c r="U1" s="94"/>
      <c r="V1" s="644">
        <v>2023</v>
      </c>
      <c r="W1" s="645">
        <v>2024</v>
      </c>
      <c r="X1" s="646">
        <v>2025</v>
      </c>
      <c r="Y1" s="94"/>
      <c r="Z1" s="566" t="s">
        <v>238</v>
      </c>
      <c r="AA1" s="603"/>
      <c r="AB1" s="602">
        <v>2020</v>
      </c>
      <c r="AC1" s="95">
        <v>2020</v>
      </c>
      <c r="AD1" s="95">
        <v>2020</v>
      </c>
      <c r="AE1" s="90" t="s">
        <v>9</v>
      </c>
      <c r="AF1" s="584" t="s">
        <v>9</v>
      </c>
      <c r="AG1" s="602">
        <v>2020</v>
      </c>
      <c r="AH1" s="95">
        <v>2020</v>
      </c>
      <c r="AI1" s="95">
        <v>2020</v>
      </c>
      <c r="AJ1" s="90" t="s">
        <v>8</v>
      </c>
      <c r="AK1" s="584" t="s">
        <v>8</v>
      </c>
      <c r="AL1" s="602">
        <v>2020</v>
      </c>
      <c r="AM1" s="95">
        <v>2020</v>
      </c>
      <c r="AN1" s="95">
        <v>2020</v>
      </c>
      <c r="AO1" s="90" t="s">
        <v>11</v>
      </c>
      <c r="AP1" s="584" t="s">
        <v>11</v>
      </c>
      <c r="AQ1" s="602">
        <v>2020</v>
      </c>
      <c r="AR1" s="95">
        <v>2020</v>
      </c>
      <c r="AS1" s="95">
        <v>2020</v>
      </c>
      <c r="AT1" s="90" t="s">
        <v>12</v>
      </c>
      <c r="AU1" s="584" t="s">
        <v>12</v>
      </c>
      <c r="AV1" s="603"/>
      <c r="AW1" s="602">
        <v>2021</v>
      </c>
      <c r="AX1" s="96">
        <v>2021</v>
      </c>
      <c r="AY1" s="96">
        <v>2021</v>
      </c>
      <c r="AZ1" s="90" t="s">
        <v>188</v>
      </c>
      <c r="BA1" s="584" t="s">
        <v>188</v>
      </c>
      <c r="BB1" s="602">
        <v>2021</v>
      </c>
      <c r="BC1" s="96">
        <v>2021</v>
      </c>
      <c r="BD1" s="96">
        <v>2021</v>
      </c>
      <c r="BE1" s="90" t="s">
        <v>189</v>
      </c>
      <c r="BF1" s="584" t="s">
        <v>189</v>
      </c>
      <c r="BG1" s="602">
        <v>2021</v>
      </c>
      <c r="BH1" s="96">
        <v>2021</v>
      </c>
      <c r="BI1" s="96">
        <v>2021</v>
      </c>
      <c r="BJ1" s="90" t="s">
        <v>190</v>
      </c>
      <c r="BK1" s="584" t="s">
        <v>190</v>
      </c>
      <c r="BL1" s="586">
        <v>2021</v>
      </c>
      <c r="BM1" s="97">
        <v>2021</v>
      </c>
      <c r="BN1" s="97">
        <v>2021</v>
      </c>
      <c r="BO1" s="90" t="s">
        <v>187</v>
      </c>
      <c r="BP1" s="584" t="s">
        <v>187</v>
      </c>
      <c r="BQ1" s="94"/>
      <c r="BR1" s="586">
        <v>2022</v>
      </c>
      <c r="BS1" s="97">
        <v>2022</v>
      </c>
      <c r="BT1" s="97">
        <v>2022</v>
      </c>
      <c r="BU1" s="90" t="s">
        <v>234</v>
      </c>
      <c r="BV1" s="584" t="s">
        <v>234</v>
      </c>
      <c r="BW1" s="586">
        <v>2022</v>
      </c>
      <c r="BX1" s="97">
        <v>2022</v>
      </c>
      <c r="BY1" s="97">
        <v>2022</v>
      </c>
      <c r="BZ1" s="90" t="s">
        <v>235</v>
      </c>
      <c r="CA1" s="584" t="s">
        <v>235</v>
      </c>
      <c r="CB1" s="586">
        <v>2022</v>
      </c>
      <c r="CC1" s="97">
        <v>2022</v>
      </c>
      <c r="CD1" s="97">
        <v>2022</v>
      </c>
      <c r="CE1" s="90" t="s">
        <v>236</v>
      </c>
      <c r="CF1" s="584" t="s">
        <v>236</v>
      </c>
      <c r="CG1" s="586">
        <v>2022</v>
      </c>
      <c r="CH1" s="97">
        <v>2022</v>
      </c>
      <c r="CI1" s="97">
        <v>2022</v>
      </c>
      <c r="CJ1" s="90" t="s">
        <v>237</v>
      </c>
      <c r="CK1" s="584" t="s">
        <v>237</v>
      </c>
    </row>
    <row r="2" spans="1:179" s="46" customFormat="1" ht="10.5" customHeight="1" thickBot="1" x14ac:dyDescent="0.25">
      <c r="A2" s="662"/>
      <c r="B2" s="759" t="s">
        <v>111</v>
      </c>
      <c r="C2" s="760"/>
      <c r="D2" s="659" t="s">
        <v>129</v>
      </c>
      <c r="E2" s="660"/>
      <c r="F2" s="98" t="s">
        <v>215</v>
      </c>
      <c r="G2" s="99" t="s">
        <v>216</v>
      </c>
      <c r="H2" s="99" t="s">
        <v>6</v>
      </c>
      <c r="I2" s="100" t="s">
        <v>7</v>
      </c>
      <c r="J2" s="101" t="s">
        <v>162</v>
      </c>
      <c r="K2" s="98" t="s">
        <v>4</v>
      </c>
      <c r="L2" s="99" t="s">
        <v>5</v>
      </c>
      <c r="M2" s="99" t="s">
        <v>6</v>
      </c>
      <c r="N2" s="100" t="s">
        <v>7</v>
      </c>
      <c r="O2" s="101" t="s">
        <v>162</v>
      </c>
      <c r="P2" s="98" t="s">
        <v>4</v>
      </c>
      <c r="Q2" s="99" t="s">
        <v>5</v>
      </c>
      <c r="R2" s="99" t="s">
        <v>6</v>
      </c>
      <c r="S2" s="100" t="s">
        <v>7</v>
      </c>
      <c r="T2" s="102" t="s">
        <v>162</v>
      </c>
      <c r="U2" s="563"/>
      <c r="V2" s="667" t="s">
        <v>186</v>
      </c>
      <c r="W2" s="668"/>
      <c r="X2" s="669"/>
      <c r="Y2" s="103"/>
      <c r="Z2" s="565" t="s">
        <v>163</v>
      </c>
      <c r="AA2" s="604"/>
      <c r="AB2" s="587" t="s">
        <v>164</v>
      </c>
      <c r="AC2" s="104" t="s">
        <v>172</v>
      </c>
      <c r="AD2" s="104" t="s">
        <v>165</v>
      </c>
      <c r="AE2" s="105" t="s">
        <v>171</v>
      </c>
      <c r="AF2" s="585" t="s">
        <v>10</v>
      </c>
      <c r="AG2" s="587" t="s">
        <v>0</v>
      </c>
      <c r="AH2" s="104" t="s">
        <v>166</v>
      </c>
      <c r="AI2" s="104" t="s">
        <v>167</v>
      </c>
      <c r="AJ2" s="105" t="s">
        <v>171</v>
      </c>
      <c r="AK2" s="585" t="s">
        <v>10</v>
      </c>
      <c r="AL2" s="587" t="s">
        <v>168</v>
      </c>
      <c r="AM2" s="104" t="s">
        <v>1</v>
      </c>
      <c r="AN2" s="104" t="s">
        <v>2</v>
      </c>
      <c r="AO2" s="105" t="s">
        <v>171</v>
      </c>
      <c r="AP2" s="585" t="s">
        <v>10</v>
      </c>
      <c r="AQ2" s="587" t="s">
        <v>169</v>
      </c>
      <c r="AR2" s="104" t="s">
        <v>3</v>
      </c>
      <c r="AS2" s="104" t="s">
        <v>170</v>
      </c>
      <c r="AT2" s="105" t="s">
        <v>171</v>
      </c>
      <c r="AU2" s="585" t="s">
        <v>10</v>
      </c>
      <c r="AV2" s="604"/>
      <c r="AW2" s="587" t="s">
        <v>164</v>
      </c>
      <c r="AX2" s="104" t="s">
        <v>172</v>
      </c>
      <c r="AY2" s="104" t="s">
        <v>165</v>
      </c>
      <c r="AZ2" s="105" t="s">
        <v>171</v>
      </c>
      <c r="BA2" s="585" t="s">
        <v>10</v>
      </c>
      <c r="BB2" s="587" t="s">
        <v>0</v>
      </c>
      <c r="BC2" s="104" t="s">
        <v>166</v>
      </c>
      <c r="BD2" s="104" t="s">
        <v>167</v>
      </c>
      <c r="BE2" s="105" t="s">
        <v>171</v>
      </c>
      <c r="BF2" s="585" t="s">
        <v>10</v>
      </c>
      <c r="BG2" s="587" t="s">
        <v>168</v>
      </c>
      <c r="BH2" s="104" t="s">
        <v>1</v>
      </c>
      <c r="BI2" s="104" t="s">
        <v>2</v>
      </c>
      <c r="BJ2" s="105" t="s">
        <v>171</v>
      </c>
      <c r="BK2" s="585" t="s">
        <v>10</v>
      </c>
      <c r="BL2" s="587" t="s">
        <v>169</v>
      </c>
      <c r="BM2" s="104" t="s">
        <v>3</v>
      </c>
      <c r="BN2" s="104" t="s">
        <v>170</v>
      </c>
      <c r="BO2" s="105" t="s">
        <v>171</v>
      </c>
      <c r="BP2" s="585" t="s">
        <v>10</v>
      </c>
      <c r="BQ2" s="103"/>
      <c r="BR2" s="587" t="s">
        <v>164</v>
      </c>
      <c r="BS2" s="104" t="s">
        <v>172</v>
      </c>
      <c r="BT2" s="104" t="s">
        <v>165</v>
      </c>
      <c r="BU2" s="105" t="s">
        <v>171</v>
      </c>
      <c r="BV2" s="585" t="s">
        <v>10</v>
      </c>
      <c r="BW2" s="587" t="s">
        <v>0</v>
      </c>
      <c r="BX2" s="104" t="s">
        <v>166</v>
      </c>
      <c r="BY2" s="104" t="s">
        <v>167</v>
      </c>
      <c r="BZ2" s="105" t="s">
        <v>171</v>
      </c>
      <c r="CA2" s="585" t="s">
        <v>10</v>
      </c>
      <c r="CB2" s="587" t="s">
        <v>168</v>
      </c>
      <c r="CC2" s="104" t="s">
        <v>1</v>
      </c>
      <c r="CD2" s="104" t="s">
        <v>2</v>
      </c>
      <c r="CE2" s="105" t="s">
        <v>171</v>
      </c>
      <c r="CF2" s="585" t="s">
        <v>10</v>
      </c>
      <c r="CG2" s="587" t="s">
        <v>169</v>
      </c>
      <c r="CH2" s="104" t="s">
        <v>3</v>
      </c>
      <c r="CI2" s="104" t="s">
        <v>170</v>
      </c>
      <c r="CJ2" s="105" t="s">
        <v>171</v>
      </c>
      <c r="CK2" s="585" t="s">
        <v>10</v>
      </c>
    </row>
    <row r="3" spans="1:179" s="116" customFormat="1" ht="10.5" customHeight="1" x14ac:dyDescent="0.15">
      <c r="A3" s="467" t="s">
        <v>212</v>
      </c>
      <c r="B3" s="106"/>
      <c r="C3" s="107"/>
      <c r="D3" s="106"/>
      <c r="E3" s="108"/>
      <c r="F3" s="478"/>
      <c r="G3" s="479"/>
      <c r="H3" s="479"/>
      <c r="I3" s="479"/>
      <c r="J3" s="109"/>
      <c r="K3" s="479"/>
      <c r="L3" s="479"/>
      <c r="M3" s="479"/>
      <c r="N3" s="479"/>
      <c r="O3" s="110"/>
      <c r="P3" s="479"/>
      <c r="Q3" s="479"/>
      <c r="R3" s="479"/>
      <c r="S3" s="479"/>
      <c r="T3" s="111"/>
      <c r="U3" s="114"/>
      <c r="V3" s="112"/>
      <c r="W3" s="109"/>
      <c r="X3" s="113"/>
      <c r="Y3" s="114"/>
      <c r="Z3" s="567"/>
      <c r="AA3" s="605"/>
      <c r="AB3" s="478"/>
      <c r="AC3" s="479"/>
      <c r="AD3" s="479"/>
      <c r="AE3" s="479"/>
      <c r="AF3" s="115"/>
      <c r="AG3" s="478"/>
      <c r="AH3" s="479"/>
      <c r="AI3" s="479"/>
      <c r="AJ3" s="479"/>
      <c r="AK3" s="115"/>
      <c r="AL3" s="478"/>
      <c r="AM3" s="479"/>
      <c r="AN3" s="479"/>
      <c r="AO3" s="479"/>
      <c r="AP3" s="115"/>
      <c r="AQ3" s="478"/>
      <c r="AR3" s="479"/>
      <c r="AS3" s="479"/>
      <c r="AT3" s="479"/>
      <c r="AU3" s="115"/>
      <c r="AV3" s="605"/>
      <c r="AW3" s="478"/>
      <c r="AX3" s="479"/>
      <c r="AY3" s="479"/>
      <c r="AZ3" s="479"/>
      <c r="BA3" s="115"/>
      <c r="BB3" s="478"/>
      <c r="BC3" s="479"/>
      <c r="BD3" s="479"/>
      <c r="BE3" s="479"/>
      <c r="BF3" s="115"/>
      <c r="BG3" s="478"/>
      <c r="BH3" s="479"/>
      <c r="BI3" s="479"/>
      <c r="BJ3" s="479"/>
      <c r="BK3" s="115"/>
      <c r="BL3" s="478"/>
      <c r="BM3" s="479"/>
      <c r="BN3" s="479"/>
      <c r="BO3" s="479"/>
      <c r="BP3" s="115"/>
      <c r="BQ3" s="114"/>
      <c r="BR3" s="478"/>
      <c r="BS3" s="479"/>
      <c r="BT3" s="479"/>
      <c r="BU3" s="479"/>
      <c r="BV3" s="115"/>
      <c r="BW3" s="478"/>
      <c r="BX3" s="479"/>
      <c r="BY3" s="479"/>
      <c r="BZ3" s="479"/>
      <c r="CA3" s="115"/>
      <c r="CB3" s="478"/>
      <c r="CC3" s="479"/>
      <c r="CD3" s="479"/>
      <c r="CE3" s="479"/>
      <c r="CF3" s="115"/>
      <c r="CG3" s="478"/>
      <c r="CH3" s="479"/>
      <c r="CI3" s="479"/>
      <c r="CJ3" s="479"/>
      <c r="CK3" s="115"/>
    </row>
    <row r="4" spans="1:179" s="57" customFormat="1" ht="9.75" customHeight="1" x14ac:dyDescent="0.15">
      <c r="A4" s="468" t="s">
        <v>130</v>
      </c>
      <c r="B4" s="653">
        <v>0</v>
      </c>
      <c r="C4" s="118">
        <v>500000</v>
      </c>
      <c r="D4" s="670" t="s">
        <v>160</v>
      </c>
      <c r="E4" s="671"/>
      <c r="F4" s="480">
        <f>SUM(1000/G44)</f>
        <v>125</v>
      </c>
      <c r="G4" s="481">
        <f>SUM((F45+F46)/G44)</f>
        <v>125</v>
      </c>
      <c r="H4" s="481">
        <f>SUM((G45+G46)/H44)</f>
        <v>0</v>
      </c>
      <c r="I4" s="481">
        <f>SUM((H45+H46)/I44)</f>
        <v>0</v>
      </c>
      <c r="J4" s="119">
        <f>SUM(F4+G4+H4+I4)*3</f>
        <v>750</v>
      </c>
      <c r="K4" s="482">
        <f>SUM((I45+I46)/K44)</f>
        <v>0</v>
      </c>
      <c r="L4" s="482">
        <f>SUM((K45+K46)/L44)</f>
        <v>0</v>
      </c>
      <c r="M4" s="482">
        <f>SUM((L45+L46)/M44)</f>
        <v>0</v>
      </c>
      <c r="N4" s="482">
        <f>SUM((M45+M46)/N44)</f>
        <v>0</v>
      </c>
      <c r="O4" s="119">
        <f>SUM(K4+L4+M4+N4)*3</f>
        <v>0</v>
      </c>
      <c r="P4" s="482">
        <f>SUM((N45+N46)/P44)</f>
        <v>0</v>
      </c>
      <c r="Q4" s="482">
        <f>SUM((P45+P46)/Q44)</f>
        <v>0</v>
      </c>
      <c r="R4" s="482">
        <f>SUM((Q45+Q46)/R44)</f>
        <v>0</v>
      </c>
      <c r="S4" s="482">
        <f>SUM((R45+R46)/S44)</f>
        <v>0</v>
      </c>
      <c r="T4" s="120">
        <f>SUM(P4+Q4+R4+S4)*3</f>
        <v>0</v>
      </c>
      <c r="U4" s="123"/>
      <c r="V4" s="121">
        <f>SUM(V45/V44)</f>
        <v>0</v>
      </c>
      <c r="W4" s="119">
        <f>SUM(W45/W44)</f>
        <v>0</v>
      </c>
      <c r="X4" s="122">
        <f>SUM(X45/X44)</f>
        <v>0</v>
      </c>
      <c r="Y4" s="123"/>
      <c r="Z4" s="568">
        <v>0</v>
      </c>
      <c r="AA4" s="606"/>
      <c r="AB4" s="480">
        <f t="shared" ref="AB4:AB15" si="0">F4</f>
        <v>125</v>
      </c>
      <c r="AC4" s="482">
        <f t="shared" ref="AC4:AC15" si="1">F4</f>
        <v>125</v>
      </c>
      <c r="AD4" s="482">
        <f t="shared" ref="AD4:AD15" si="2">F4</f>
        <v>125</v>
      </c>
      <c r="AE4" s="482">
        <f>SUM(AB4:AD4)</f>
        <v>375</v>
      </c>
      <c r="AF4" s="124"/>
      <c r="AG4" s="480">
        <f t="shared" ref="AG4:AG15" si="3">G4</f>
        <v>125</v>
      </c>
      <c r="AH4" s="482">
        <f t="shared" ref="AH4:AH15" si="4">G4</f>
        <v>125</v>
      </c>
      <c r="AI4" s="482">
        <f t="shared" ref="AI4:AI15" si="5">G4</f>
        <v>125</v>
      </c>
      <c r="AJ4" s="482">
        <f>SUM(AG4:AI4)</f>
        <v>375</v>
      </c>
      <c r="AK4" s="124"/>
      <c r="AL4" s="480">
        <f t="shared" ref="AL4:AL15" si="6">H4</f>
        <v>0</v>
      </c>
      <c r="AM4" s="482">
        <f t="shared" ref="AM4:AM15" si="7">H4</f>
        <v>0</v>
      </c>
      <c r="AN4" s="482">
        <f t="shared" ref="AN4:AN15" si="8">H4</f>
        <v>0</v>
      </c>
      <c r="AO4" s="482">
        <f>SUM(AL4:AN4)</f>
        <v>0</v>
      </c>
      <c r="AP4" s="124"/>
      <c r="AQ4" s="480">
        <f t="shared" ref="AQ4:AQ15" si="9">I4</f>
        <v>0</v>
      </c>
      <c r="AR4" s="482">
        <f t="shared" ref="AR4:AR15" si="10">I4</f>
        <v>0</v>
      </c>
      <c r="AS4" s="482">
        <f t="shared" ref="AS4:AS15" si="11">I4</f>
        <v>0</v>
      </c>
      <c r="AT4" s="482">
        <f>SUM(AQ4:AS4)</f>
        <v>0</v>
      </c>
      <c r="AU4" s="124"/>
      <c r="AV4" s="606"/>
      <c r="AW4" s="480">
        <f t="shared" ref="AW4:AW15" si="12">K4</f>
        <v>0</v>
      </c>
      <c r="AX4" s="482">
        <f t="shared" ref="AX4:AX15" si="13">K4</f>
        <v>0</v>
      </c>
      <c r="AY4" s="482">
        <f t="shared" ref="AY4:AY15" si="14">K4</f>
        <v>0</v>
      </c>
      <c r="AZ4" s="482">
        <f>SUM(AW4:AY4)</f>
        <v>0</v>
      </c>
      <c r="BA4" s="124"/>
      <c r="BB4" s="480">
        <f t="shared" ref="BB4:BB15" si="15">L4</f>
        <v>0</v>
      </c>
      <c r="BC4" s="482">
        <f t="shared" ref="BC4:BC15" si="16">L4</f>
        <v>0</v>
      </c>
      <c r="BD4" s="482">
        <f t="shared" ref="BD4:BD15" si="17">L4</f>
        <v>0</v>
      </c>
      <c r="BE4" s="482">
        <f>SUM(BB4:BD4)</f>
        <v>0</v>
      </c>
      <c r="BF4" s="124"/>
      <c r="BG4" s="480">
        <f t="shared" ref="BG4:BG15" si="18">M4</f>
        <v>0</v>
      </c>
      <c r="BH4" s="482">
        <f t="shared" ref="BH4:BH15" si="19">M4</f>
        <v>0</v>
      </c>
      <c r="BI4" s="482">
        <f t="shared" ref="BI4:BI15" si="20">M4</f>
        <v>0</v>
      </c>
      <c r="BJ4" s="482">
        <f>SUM(BG4:BI4)</f>
        <v>0</v>
      </c>
      <c r="BK4" s="124"/>
      <c r="BL4" s="480">
        <f t="shared" ref="BL4:BL15" si="21">N4</f>
        <v>0</v>
      </c>
      <c r="BM4" s="482">
        <f t="shared" ref="BM4:BM15" si="22">N4</f>
        <v>0</v>
      </c>
      <c r="BN4" s="482">
        <f t="shared" ref="BN4:BN15" si="23">N4</f>
        <v>0</v>
      </c>
      <c r="BO4" s="482">
        <f>SUM(BL4:BN4)</f>
        <v>0</v>
      </c>
      <c r="BP4" s="124"/>
      <c r="BQ4" s="123"/>
      <c r="BR4" s="480">
        <f t="shared" ref="BR4:BR15" si="24">P4</f>
        <v>0</v>
      </c>
      <c r="BS4" s="482">
        <f t="shared" ref="BS4:BS15" si="25">P4</f>
        <v>0</v>
      </c>
      <c r="BT4" s="482">
        <f t="shared" ref="BT4:BT15" si="26">P4</f>
        <v>0</v>
      </c>
      <c r="BU4" s="482">
        <f>SUM(BR4:BT4)</f>
        <v>0</v>
      </c>
      <c r="BV4" s="124"/>
      <c r="BW4" s="480">
        <f t="shared" ref="BW4:BW15" si="27">Q4</f>
        <v>0</v>
      </c>
      <c r="BX4" s="482">
        <f t="shared" ref="BX4:BX15" si="28">Q4</f>
        <v>0</v>
      </c>
      <c r="BY4" s="482">
        <f t="shared" ref="BY4:BY15" si="29">Q4</f>
        <v>0</v>
      </c>
      <c r="BZ4" s="482">
        <f>SUM(BW4:BY4)</f>
        <v>0</v>
      </c>
      <c r="CA4" s="124"/>
      <c r="CB4" s="480">
        <f t="shared" ref="CB4:CB15" si="30">R4</f>
        <v>0</v>
      </c>
      <c r="CC4" s="482">
        <f t="shared" ref="CC4:CC15" si="31">R4</f>
        <v>0</v>
      </c>
      <c r="CD4" s="482">
        <f t="shared" ref="CD4:CD15" si="32">R4</f>
        <v>0</v>
      </c>
      <c r="CE4" s="482">
        <f>SUM(CB4:CD4)</f>
        <v>0</v>
      </c>
      <c r="CF4" s="124"/>
      <c r="CG4" s="480">
        <f t="shared" ref="CG4:CG15" si="33">S4</f>
        <v>0</v>
      </c>
      <c r="CH4" s="482">
        <f t="shared" ref="CH4:CH15" si="34">S4</f>
        <v>0</v>
      </c>
      <c r="CI4" s="482">
        <f t="shared" ref="CI4:CI15" si="35">S4</f>
        <v>0</v>
      </c>
      <c r="CJ4" s="482">
        <f>SUM(CG4:CI4)</f>
        <v>0</v>
      </c>
      <c r="CK4" s="124"/>
    </row>
    <row r="5" spans="1:179" s="57" customFormat="1" ht="9.75" customHeight="1" x14ac:dyDescent="0.15">
      <c r="A5" s="468" t="s">
        <v>131</v>
      </c>
      <c r="B5" s="284">
        <v>100</v>
      </c>
      <c r="C5" s="285">
        <v>0.05</v>
      </c>
      <c r="D5" s="693"/>
      <c r="E5" s="694"/>
      <c r="F5" s="127">
        <v>1500</v>
      </c>
      <c r="G5" s="128">
        <v>2000</v>
      </c>
      <c r="H5" s="482">
        <f>SUM((IF(ISBLANK(D5),B5,D5))+(G5)*(IF(ISBLANK(E5),(1+C5),(1+E5))))</f>
        <v>2200</v>
      </c>
      <c r="I5" s="482">
        <f>SUM((IF(ISBLANK(D5),B5,D5))+(H5)*(IF(ISBLANK(E5),(1+C5),(1+E5))))</f>
        <v>2410</v>
      </c>
      <c r="J5" s="119">
        <f>SUM(F5+G5+H5+I5)*3</f>
        <v>24330</v>
      </c>
      <c r="K5" s="482">
        <f>SUM((IF(ISBLANK(D5),B5,D5))+(I5)*(IF(ISBLANK(E5),(1+C5),(1+E5))))</f>
        <v>2630.5</v>
      </c>
      <c r="L5" s="482">
        <f>SUM((IF(ISBLANK(D5),B5,D5))+(K5)*(IF(ISBLANK(E5),(1+C5),(1+E5))))</f>
        <v>2862.0250000000001</v>
      </c>
      <c r="M5" s="482">
        <f>SUM((IF(ISBLANK(D5),B5,D5))+(L5)*(IF(ISBLANK(E5),(1+C5),(1+E5))))</f>
        <v>3105.1262500000003</v>
      </c>
      <c r="N5" s="482">
        <f>SUM((IF(ISBLANK(D5),B5,D5))+(M5)*(IF(ISBLANK(E5),(1+C5),(1+E5))))</f>
        <v>3360.3825625000004</v>
      </c>
      <c r="O5" s="119">
        <f>SUM(K5+L5+M5+N5)*3</f>
        <v>35874.101437500001</v>
      </c>
      <c r="P5" s="482">
        <f>SUM((IF(ISBLANK(D5),B5,D5))+(N5)*(IF(ISBLANK(E5),(1+C5),(1+E5))))</f>
        <v>3628.4016906250004</v>
      </c>
      <c r="Q5" s="482">
        <f>SUM((IF(ISBLANK(D5),B5,D5))+(P5)*(IF(ISBLANK(E5),(1+C5),(1+E5))))</f>
        <v>3909.8217751562506</v>
      </c>
      <c r="R5" s="482">
        <f>SUM((IF(ISBLANK(D5),B5,D5))+(Q5)*(IF(ISBLANK(E5),(1+C5),(1+E5))))</f>
        <v>4205.3128639140632</v>
      </c>
      <c r="S5" s="482">
        <f>SUM((IF(ISBLANK(D5),B5,D5))+(R5)*(IF(ISBLANK(E5),(1+C5),(1+E5))))</f>
        <v>4515.5785071097662</v>
      </c>
      <c r="T5" s="120">
        <f>SUM(P5+Q5+R5+S5)*3</f>
        <v>48777.344510415249</v>
      </c>
      <c r="U5" s="123"/>
      <c r="V5" s="121">
        <f>SUM((IF(ISBLANK(D5),B5,D5))+(S5)*(IF(ISBLANK(E5),(1+C5),(1+E5))))*12</f>
        <v>58096.289189583054</v>
      </c>
      <c r="W5" s="119">
        <f>SUM((IF(ISBLANK(D5),B5,D5))+(V5)*(IF(ISBLANK(E5),(1+C5),(1+E5))))</f>
        <v>61101.103649062206</v>
      </c>
      <c r="X5" s="122">
        <f>SUM((IF(ISBLANK(D5),B5,D5))+(W5)*(IF(ISBLANK(E5),(1+C5),(1+E5))))</f>
        <v>64256.15883151532</v>
      </c>
      <c r="Y5" s="123"/>
      <c r="Z5" s="568">
        <v>2300</v>
      </c>
      <c r="AA5" s="606"/>
      <c r="AB5" s="480">
        <f t="shared" si="0"/>
        <v>1500</v>
      </c>
      <c r="AC5" s="482">
        <f t="shared" si="1"/>
        <v>1500</v>
      </c>
      <c r="AD5" s="482">
        <f t="shared" si="2"/>
        <v>1500</v>
      </c>
      <c r="AE5" s="482">
        <f>SUM(AB5:AD5)</f>
        <v>4500</v>
      </c>
      <c r="AF5" s="124"/>
      <c r="AG5" s="480">
        <f t="shared" si="3"/>
        <v>2000</v>
      </c>
      <c r="AH5" s="482">
        <f t="shared" si="4"/>
        <v>2000</v>
      </c>
      <c r="AI5" s="482">
        <f t="shared" si="5"/>
        <v>2000</v>
      </c>
      <c r="AJ5" s="482">
        <f>SUM(AG5:AI5)</f>
        <v>6000</v>
      </c>
      <c r="AK5" s="124"/>
      <c r="AL5" s="480">
        <f t="shared" si="6"/>
        <v>2200</v>
      </c>
      <c r="AM5" s="482">
        <f t="shared" si="7"/>
        <v>2200</v>
      </c>
      <c r="AN5" s="482">
        <f t="shared" si="8"/>
        <v>2200</v>
      </c>
      <c r="AO5" s="482">
        <f>SUM(AL5:AN5)</f>
        <v>6600</v>
      </c>
      <c r="AP5" s="124"/>
      <c r="AQ5" s="480">
        <f t="shared" si="9"/>
        <v>2410</v>
      </c>
      <c r="AR5" s="482">
        <f t="shared" si="10"/>
        <v>2410</v>
      </c>
      <c r="AS5" s="482">
        <f t="shared" si="11"/>
        <v>2410</v>
      </c>
      <c r="AT5" s="482">
        <f>SUM(AQ5:AS5)</f>
        <v>7230</v>
      </c>
      <c r="AU5" s="124"/>
      <c r="AV5" s="606"/>
      <c r="AW5" s="480">
        <f t="shared" si="12"/>
        <v>2630.5</v>
      </c>
      <c r="AX5" s="482">
        <f t="shared" si="13"/>
        <v>2630.5</v>
      </c>
      <c r="AY5" s="482">
        <f t="shared" si="14"/>
        <v>2630.5</v>
      </c>
      <c r="AZ5" s="482">
        <f>SUM(AW5:AY5)</f>
        <v>7891.5</v>
      </c>
      <c r="BA5" s="124"/>
      <c r="BB5" s="480">
        <f t="shared" si="15"/>
        <v>2862.0250000000001</v>
      </c>
      <c r="BC5" s="482">
        <f t="shared" si="16"/>
        <v>2862.0250000000001</v>
      </c>
      <c r="BD5" s="482">
        <f t="shared" si="17"/>
        <v>2862.0250000000001</v>
      </c>
      <c r="BE5" s="482">
        <f>SUM(BB5:BD5)</f>
        <v>8586.0750000000007</v>
      </c>
      <c r="BF5" s="124"/>
      <c r="BG5" s="480">
        <f t="shared" si="18"/>
        <v>3105.1262500000003</v>
      </c>
      <c r="BH5" s="482">
        <f t="shared" si="19"/>
        <v>3105.1262500000003</v>
      </c>
      <c r="BI5" s="482">
        <f t="shared" si="20"/>
        <v>3105.1262500000003</v>
      </c>
      <c r="BJ5" s="482">
        <f>SUM(BG5:BI5)</f>
        <v>9315.3787499999999</v>
      </c>
      <c r="BK5" s="124"/>
      <c r="BL5" s="480">
        <f t="shared" si="21"/>
        <v>3360.3825625000004</v>
      </c>
      <c r="BM5" s="482">
        <f t="shared" si="22"/>
        <v>3360.3825625000004</v>
      </c>
      <c r="BN5" s="482">
        <f t="shared" si="23"/>
        <v>3360.3825625000004</v>
      </c>
      <c r="BO5" s="482">
        <f>SUM(BL5:BN5)</f>
        <v>10081.147687500001</v>
      </c>
      <c r="BP5" s="124"/>
      <c r="BQ5" s="123"/>
      <c r="BR5" s="480">
        <f t="shared" si="24"/>
        <v>3628.4016906250004</v>
      </c>
      <c r="BS5" s="482">
        <f t="shared" si="25"/>
        <v>3628.4016906250004</v>
      </c>
      <c r="BT5" s="482">
        <f t="shared" si="26"/>
        <v>3628.4016906250004</v>
      </c>
      <c r="BU5" s="482">
        <f>SUM(BR5:BT5)</f>
        <v>10885.205071875002</v>
      </c>
      <c r="BV5" s="124"/>
      <c r="BW5" s="480">
        <f t="shared" si="27"/>
        <v>3909.8217751562506</v>
      </c>
      <c r="BX5" s="482">
        <f t="shared" si="28"/>
        <v>3909.8217751562506</v>
      </c>
      <c r="BY5" s="482">
        <f t="shared" si="29"/>
        <v>3909.8217751562506</v>
      </c>
      <c r="BZ5" s="482">
        <f>SUM(BW5:BY5)</f>
        <v>11729.465325468751</v>
      </c>
      <c r="CA5" s="124"/>
      <c r="CB5" s="480">
        <f t="shared" si="30"/>
        <v>4205.3128639140632</v>
      </c>
      <c r="CC5" s="482">
        <f t="shared" si="31"/>
        <v>4205.3128639140632</v>
      </c>
      <c r="CD5" s="482">
        <f t="shared" si="32"/>
        <v>4205.3128639140632</v>
      </c>
      <c r="CE5" s="482">
        <f>SUM(CB5:CD5)</f>
        <v>12615.93859174219</v>
      </c>
      <c r="CF5" s="124"/>
      <c r="CG5" s="480">
        <f t="shared" si="33"/>
        <v>4515.5785071097662</v>
      </c>
      <c r="CH5" s="482">
        <f t="shared" si="34"/>
        <v>4515.5785071097662</v>
      </c>
      <c r="CI5" s="482">
        <f t="shared" si="35"/>
        <v>4515.5785071097662</v>
      </c>
      <c r="CJ5" s="482">
        <f>SUM(CG5:CI5)</f>
        <v>13546.735521329298</v>
      </c>
      <c r="CK5" s="124"/>
    </row>
    <row r="6" spans="1:179" s="57" customFormat="1" ht="9.75" customHeight="1" x14ac:dyDescent="0.15">
      <c r="A6" s="468" t="s">
        <v>132</v>
      </c>
      <c r="B6" s="121">
        <v>100</v>
      </c>
      <c r="C6" s="285">
        <v>0.01</v>
      </c>
      <c r="D6" s="129"/>
      <c r="E6" s="624"/>
      <c r="F6" s="127">
        <v>0</v>
      </c>
      <c r="G6" s="128">
        <v>100</v>
      </c>
      <c r="H6" s="482">
        <f>SUM(IF(ISBLANK(D6),B6,D6)+(G18*(IF(ISBLANK(E6),C6,E6))))</f>
        <v>148.33833617049763</v>
      </c>
      <c r="I6" s="482">
        <f>SUM(IF(ISBLANK(D6),B6,D6)+(H18*(IF(ISBLANK(E6),C6,E6))))</f>
        <v>184.8370063860954</v>
      </c>
      <c r="J6" s="119">
        <f>SUM(F6+G6+H6+I6)*3</f>
        <v>1299.5260276697791</v>
      </c>
      <c r="K6" s="482">
        <f>SUM(IF(ISBLANK(D6),B6,D6)+(I18*(IF(ISBLANK(E6),C6,E6))))</f>
        <v>208.65521167239922</v>
      </c>
      <c r="L6" s="482">
        <f>SUM(IF(ISBLANK(D6),B6,D6)+(K18*(IF(ISBLANK(E6),C6,E6))))</f>
        <v>233.67396546158145</v>
      </c>
      <c r="M6" s="482">
        <f>SUM(IF(ISBLANK(D6),B6,D6)+(L18*(IF(ISBLANK(E6),C6,E6))))</f>
        <v>255.27701315460178</v>
      </c>
      <c r="N6" s="482">
        <f>SUM(IF(ISBLANK(D6),B6,D6)+(M18*(IF(ISBLANK(E6),C6,E6))))</f>
        <v>275.4158288520793</v>
      </c>
      <c r="O6" s="119">
        <f>SUM(K6+L6+M6+N6)*3</f>
        <v>2919.0660574219855</v>
      </c>
      <c r="P6" s="482">
        <f>SUM(IF(ISBLANK(D6),B6,D6)+(N18*(IF(ISBLANK(E6),C6,E6))))</f>
        <v>295.24335023017341</v>
      </c>
      <c r="Q6" s="482">
        <f>SUM(IF(ISBLANK(D6),B6,D6)+(P18*(IF(ISBLANK(E6),C6,E6))))</f>
        <v>317.51840816517108</v>
      </c>
      <c r="R6" s="482">
        <f>SUM(IF(ISBLANK(D6),B6,D6)+(Q18*(IF(ISBLANK(E6),C6,E6))))</f>
        <v>342.37375087590402</v>
      </c>
      <c r="S6" s="482">
        <f>SUM(IF(ISBLANK(D6),B6,D6)+(R18*(IF(ISBLANK(E6),C6,E6))))</f>
        <v>370.03272753055006</v>
      </c>
      <c r="T6" s="120">
        <f>SUM(P6+Q6+R6+S6)*3</f>
        <v>3975.5047104053961</v>
      </c>
      <c r="U6" s="123"/>
      <c r="V6" s="121">
        <f>SUM(IF(ISBLANK(D6),B6,D6)+(S18*(IF(ISBLANK(E6),C6,E6))))*12</f>
        <v>4809.4773091172638</v>
      </c>
      <c r="W6" s="119">
        <f>SUM(IF(ISBLANK(D6),B6,D6)+(V18*(IF(ISBLANK(E6),C6,E6))))*12</f>
        <v>12190.421435116166</v>
      </c>
      <c r="X6" s="122">
        <f>SUM(IF(ISBLANK(D6),B6,D6)+(W18*(IF(ISBLANK(E6),C6,E6))))*12</f>
        <v>18973.402474938041</v>
      </c>
      <c r="Y6" s="123"/>
      <c r="Z6" s="568">
        <v>0</v>
      </c>
      <c r="AA6" s="606"/>
      <c r="AB6" s="480">
        <f t="shared" si="0"/>
        <v>0</v>
      </c>
      <c r="AC6" s="482">
        <f t="shared" si="1"/>
        <v>0</v>
      </c>
      <c r="AD6" s="482">
        <f t="shared" si="2"/>
        <v>0</v>
      </c>
      <c r="AE6" s="482">
        <f t="shared" ref="AE6:AE17" si="36">SUM(AB6:AD6)</f>
        <v>0</v>
      </c>
      <c r="AF6" s="124"/>
      <c r="AG6" s="480">
        <f t="shared" si="3"/>
        <v>100</v>
      </c>
      <c r="AH6" s="482">
        <f t="shared" si="4"/>
        <v>100</v>
      </c>
      <c r="AI6" s="482">
        <f t="shared" si="5"/>
        <v>100</v>
      </c>
      <c r="AJ6" s="482">
        <f t="shared" ref="AJ6:AJ17" si="37">SUM(AG6:AI6)</f>
        <v>300</v>
      </c>
      <c r="AK6" s="124"/>
      <c r="AL6" s="480">
        <f t="shared" si="6"/>
        <v>148.33833617049763</v>
      </c>
      <c r="AM6" s="482">
        <f t="shared" si="7"/>
        <v>148.33833617049763</v>
      </c>
      <c r="AN6" s="482">
        <f t="shared" si="8"/>
        <v>148.33833617049763</v>
      </c>
      <c r="AO6" s="482">
        <f t="shared" ref="AO6:AO17" si="38">SUM(AL6:AN6)</f>
        <v>445.01500851149285</v>
      </c>
      <c r="AP6" s="124"/>
      <c r="AQ6" s="480">
        <f t="shared" si="9"/>
        <v>184.8370063860954</v>
      </c>
      <c r="AR6" s="482">
        <f t="shared" si="10"/>
        <v>184.8370063860954</v>
      </c>
      <c r="AS6" s="482">
        <f t="shared" si="11"/>
        <v>184.8370063860954</v>
      </c>
      <c r="AT6" s="482">
        <f t="shared" ref="AT6:AT17" si="39">SUM(AQ6:AS6)</f>
        <v>554.51101915828622</v>
      </c>
      <c r="AU6" s="124"/>
      <c r="AV6" s="606"/>
      <c r="AW6" s="480">
        <f t="shared" si="12"/>
        <v>208.65521167239922</v>
      </c>
      <c r="AX6" s="482">
        <f t="shared" si="13"/>
        <v>208.65521167239922</v>
      </c>
      <c r="AY6" s="482">
        <f t="shared" si="14"/>
        <v>208.65521167239922</v>
      </c>
      <c r="AZ6" s="482">
        <f t="shared" ref="AZ6:AZ17" si="40">SUM(AW6:AY6)</f>
        <v>625.96563501719766</v>
      </c>
      <c r="BA6" s="124"/>
      <c r="BB6" s="480">
        <f t="shared" si="15"/>
        <v>233.67396546158145</v>
      </c>
      <c r="BC6" s="482">
        <f t="shared" si="16"/>
        <v>233.67396546158145</v>
      </c>
      <c r="BD6" s="482">
        <f t="shared" si="17"/>
        <v>233.67396546158145</v>
      </c>
      <c r="BE6" s="482">
        <f t="shared" ref="BE6:BE17" si="41">SUM(BB6:BD6)</f>
        <v>701.02189638474431</v>
      </c>
      <c r="BF6" s="124"/>
      <c r="BG6" s="480">
        <f t="shared" si="18"/>
        <v>255.27701315460178</v>
      </c>
      <c r="BH6" s="482">
        <f t="shared" si="19"/>
        <v>255.27701315460178</v>
      </c>
      <c r="BI6" s="482">
        <f t="shared" si="20"/>
        <v>255.27701315460178</v>
      </c>
      <c r="BJ6" s="482">
        <f t="shared" ref="BJ6:BJ17" si="42">SUM(BG6:BI6)</f>
        <v>765.83103946380538</v>
      </c>
      <c r="BK6" s="124"/>
      <c r="BL6" s="480">
        <f t="shared" si="21"/>
        <v>275.4158288520793</v>
      </c>
      <c r="BM6" s="482">
        <f t="shared" si="22"/>
        <v>275.4158288520793</v>
      </c>
      <c r="BN6" s="482">
        <f t="shared" si="23"/>
        <v>275.4158288520793</v>
      </c>
      <c r="BO6" s="482">
        <f t="shared" ref="BO6:BO8" si="43">SUM(BL6:BN6)</f>
        <v>826.24748655623785</v>
      </c>
      <c r="BP6" s="124"/>
      <c r="BQ6" s="123"/>
      <c r="BR6" s="480">
        <f t="shared" si="24"/>
        <v>295.24335023017341</v>
      </c>
      <c r="BS6" s="482">
        <f t="shared" si="25"/>
        <v>295.24335023017341</v>
      </c>
      <c r="BT6" s="482">
        <f t="shared" si="26"/>
        <v>295.24335023017341</v>
      </c>
      <c r="BU6" s="482">
        <f t="shared" ref="BU6:BU8" si="44">SUM(BR6:BT6)</f>
        <v>885.73005069052022</v>
      </c>
      <c r="BV6" s="124"/>
      <c r="BW6" s="480">
        <f t="shared" si="27"/>
        <v>317.51840816517108</v>
      </c>
      <c r="BX6" s="482">
        <f t="shared" si="28"/>
        <v>317.51840816517108</v>
      </c>
      <c r="BY6" s="482">
        <f t="shared" si="29"/>
        <v>317.51840816517108</v>
      </c>
      <c r="BZ6" s="482">
        <f t="shared" ref="BZ6:BZ8" si="45">SUM(BW6:BY6)</f>
        <v>952.55522449551324</v>
      </c>
      <c r="CA6" s="124"/>
      <c r="CB6" s="480">
        <f t="shared" si="30"/>
        <v>342.37375087590402</v>
      </c>
      <c r="CC6" s="482">
        <f t="shared" si="31"/>
        <v>342.37375087590402</v>
      </c>
      <c r="CD6" s="482">
        <f t="shared" si="32"/>
        <v>342.37375087590402</v>
      </c>
      <c r="CE6" s="482">
        <f t="shared" ref="CE6:CE7" si="46">SUM(CB6:CD6)</f>
        <v>1027.121252627712</v>
      </c>
      <c r="CF6" s="124"/>
      <c r="CG6" s="480">
        <f t="shared" si="33"/>
        <v>370.03272753055006</v>
      </c>
      <c r="CH6" s="482">
        <f t="shared" si="34"/>
        <v>370.03272753055006</v>
      </c>
      <c r="CI6" s="482">
        <f t="shared" si="35"/>
        <v>370.03272753055006</v>
      </c>
      <c r="CJ6" s="482">
        <f t="shared" ref="CJ6:CJ8" si="47">SUM(CG6:CI6)</f>
        <v>1110.0981825916501</v>
      </c>
      <c r="CK6" s="124"/>
    </row>
    <row r="7" spans="1:179" s="57" customFormat="1" ht="9.75" customHeight="1" x14ac:dyDescent="0.15">
      <c r="A7" s="468" t="s">
        <v>133</v>
      </c>
      <c r="B7" s="370">
        <v>0</v>
      </c>
      <c r="C7" s="285">
        <v>0</v>
      </c>
      <c r="D7" s="129"/>
      <c r="E7" s="624"/>
      <c r="F7" s="127">
        <v>0</v>
      </c>
      <c r="G7" s="128">
        <v>0</v>
      </c>
      <c r="H7" s="128">
        <v>0</v>
      </c>
      <c r="I7" s="128">
        <v>0</v>
      </c>
      <c r="J7" s="119">
        <f>SUM((F7+G7+H7+I7)*3)</f>
        <v>0</v>
      </c>
      <c r="K7" s="482">
        <f>SUM(IF(ISBLANK(D7),B7,D7)+(I18*(IF(ISBLANK(E7),C7,E7))))</f>
        <v>0</v>
      </c>
      <c r="L7" s="482">
        <f>SUM(IF(ISBLANK(D7),B7,D7)+(K18*(IF(ISBLANK(E7),C7,E7))))</f>
        <v>0</v>
      </c>
      <c r="M7" s="482">
        <f>SUM(IF(ISBLANK(D7),B7,D7)+(L18*(IF(ISBLANK(E7),C7,E7))))</f>
        <v>0</v>
      </c>
      <c r="N7" s="482">
        <f>SUM(IF(ISBLANK(D7),B7,D7)+(M18*(IF(ISBLANK(E7),C7,E7))))</f>
        <v>0</v>
      </c>
      <c r="O7" s="119">
        <f>SUM(K7+L7+M7+N7)*3</f>
        <v>0</v>
      </c>
      <c r="P7" s="482">
        <f>SUM(IF(ISBLANK(D7),B7,D7)+(N18*(IF(ISBLANK(E7),C7,E7))))</f>
        <v>0</v>
      </c>
      <c r="Q7" s="482">
        <f>SUM(IF(ISBLANK(D7),B7,D7)+(P18*(IF(ISBLANK(E7),C7,E7))))</f>
        <v>0</v>
      </c>
      <c r="R7" s="482">
        <f>SUM(IF(ISBLANK(D7),B7,D7)+(Q18*(IF(ISBLANK(E7),C7,E7))))</f>
        <v>0</v>
      </c>
      <c r="S7" s="482">
        <f>SUM(IF(ISBLANK(D7),B7,D7)+(R18*(IF(ISBLANK(E7),C7,E7))))</f>
        <v>0</v>
      </c>
      <c r="T7" s="120">
        <f>SUM(P7+Q7+R7+S7)*3</f>
        <v>0</v>
      </c>
      <c r="U7" s="123"/>
      <c r="V7" s="121">
        <f>SUM(IF(ISBLANK(D7),B7,D7)+(S18*(IF(ISBLANK(E7),C7,E7))))*12</f>
        <v>0</v>
      </c>
      <c r="W7" s="119">
        <f>SUM(IF(ISBLANK(D7),B7,D7)+(V18*(IF(ISBLANK(E7),C7,E7))))*12</f>
        <v>0</v>
      </c>
      <c r="X7" s="122">
        <f>SUM(IF(ISBLANK(D7),B7,D7)+(W18*(IF(ISBLANK(E7),C7,E7))))*12</f>
        <v>0</v>
      </c>
      <c r="Y7" s="123"/>
      <c r="Z7" s="568">
        <v>0</v>
      </c>
      <c r="AA7" s="606"/>
      <c r="AB7" s="480">
        <f t="shared" si="0"/>
        <v>0</v>
      </c>
      <c r="AC7" s="482">
        <f t="shared" si="1"/>
        <v>0</v>
      </c>
      <c r="AD7" s="482">
        <f t="shared" si="2"/>
        <v>0</v>
      </c>
      <c r="AE7" s="482">
        <f t="shared" si="36"/>
        <v>0</v>
      </c>
      <c r="AF7" s="124"/>
      <c r="AG7" s="480">
        <f t="shared" si="3"/>
        <v>0</v>
      </c>
      <c r="AH7" s="482">
        <f t="shared" si="4"/>
        <v>0</v>
      </c>
      <c r="AI7" s="482">
        <f t="shared" si="5"/>
        <v>0</v>
      </c>
      <c r="AJ7" s="482">
        <f t="shared" si="37"/>
        <v>0</v>
      </c>
      <c r="AK7" s="124"/>
      <c r="AL7" s="480">
        <f t="shared" si="6"/>
        <v>0</v>
      </c>
      <c r="AM7" s="482">
        <f t="shared" si="7"/>
        <v>0</v>
      </c>
      <c r="AN7" s="482">
        <f t="shared" si="8"/>
        <v>0</v>
      </c>
      <c r="AO7" s="482">
        <f t="shared" si="38"/>
        <v>0</v>
      </c>
      <c r="AP7" s="124"/>
      <c r="AQ7" s="480">
        <f t="shared" si="9"/>
        <v>0</v>
      </c>
      <c r="AR7" s="482">
        <f t="shared" si="10"/>
        <v>0</v>
      </c>
      <c r="AS7" s="482">
        <f t="shared" si="11"/>
        <v>0</v>
      </c>
      <c r="AT7" s="482">
        <f t="shared" si="39"/>
        <v>0</v>
      </c>
      <c r="AU7" s="124"/>
      <c r="AV7" s="606"/>
      <c r="AW7" s="480">
        <f t="shared" si="12"/>
        <v>0</v>
      </c>
      <c r="AX7" s="482">
        <f t="shared" si="13"/>
        <v>0</v>
      </c>
      <c r="AY7" s="482">
        <f t="shared" si="14"/>
        <v>0</v>
      </c>
      <c r="AZ7" s="482">
        <f t="shared" si="40"/>
        <v>0</v>
      </c>
      <c r="BA7" s="124"/>
      <c r="BB7" s="480">
        <f t="shared" si="15"/>
        <v>0</v>
      </c>
      <c r="BC7" s="482">
        <f t="shared" si="16"/>
        <v>0</v>
      </c>
      <c r="BD7" s="482">
        <f t="shared" si="17"/>
        <v>0</v>
      </c>
      <c r="BE7" s="482">
        <f t="shared" si="41"/>
        <v>0</v>
      </c>
      <c r="BF7" s="124"/>
      <c r="BG7" s="480">
        <f t="shared" si="18"/>
        <v>0</v>
      </c>
      <c r="BH7" s="482">
        <f t="shared" si="19"/>
        <v>0</v>
      </c>
      <c r="BI7" s="482">
        <f t="shared" si="20"/>
        <v>0</v>
      </c>
      <c r="BJ7" s="482">
        <f t="shared" si="42"/>
        <v>0</v>
      </c>
      <c r="BK7" s="124"/>
      <c r="BL7" s="480">
        <f t="shared" si="21"/>
        <v>0</v>
      </c>
      <c r="BM7" s="482">
        <f t="shared" si="22"/>
        <v>0</v>
      </c>
      <c r="BN7" s="482">
        <f t="shared" si="23"/>
        <v>0</v>
      </c>
      <c r="BO7" s="482">
        <f t="shared" si="43"/>
        <v>0</v>
      </c>
      <c r="BP7" s="124"/>
      <c r="BQ7" s="123"/>
      <c r="BR7" s="480">
        <f t="shared" si="24"/>
        <v>0</v>
      </c>
      <c r="BS7" s="482">
        <f t="shared" si="25"/>
        <v>0</v>
      </c>
      <c r="BT7" s="482">
        <f t="shared" si="26"/>
        <v>0</v>
      </c>
      <c r="BU7" s="482">
        <f t="shared" si="44"/>
        <v>0</v>
      </c>
      <c r="BV7" s="124"/>
      <c r="BW7" s="480">
        <f t="shared" si="27"/>
        <v>0</v>
      </c>
      <c r="BX7" s="482">
        <f t="shared" si="28"/>
        <v>0</v>
      </c>
      <c r="BY7" s="482">
        <f t="shared" si="29"/>
        <v>0</v>
      </c>
      <c r="BZ7" s="482">
        <f t="shared" si="45"/>
        <v>0</v>
      </c>
      <c r="CA7" s="124"/>
      <c r="CB7" s="480">
        <f t="shared" si="30"/>
        <v>0</v>
      </c>
      <c r="CC7" s="482">
        <f t="shared" si="31"/>
        <v>0</v>
      </c>
      <c r="CD7" s="482">
        <f t="shared" si="32"/>
        <v>0</v>
      </c>
      <c r="CE7" s="482">
        <f t="shared" si="46"/>
        <v>0</v>
      </c>
      <c r="CF7" s="124"/>
      <c r="CG7" s="480">
        <f t="shared" si="33"/>
        <v>0</v>
      </c>
      <c r="CH7" s="482">
        <f t="shared" si="34"/>
        <v>0</v>
      </c>
      <c r="CI7" s="482">
        <f t="shared" si="35"/>
        <v>0</v>
      </c>
      <c r="CJ7" s="482">
        <f t="shared" si="47"/>
        <v>0</v>
      </c>
      <c r="CK7" s="124"/>
    </row>
    <row r="8" spans="1:179" s="57" customFormat="1" ht="9.75" customHeight="1" thickBot="1" x14ac:dyDescent="0.2">
      <c r="A8" s="469" t="s">
        <v>134</v>
      </c>
      <c r="B8" s="372">
        <v>100000</v>
      </c>
      <c r="C8" s="286">
        <v>500000</v>
      </c>
      <c r="D8" s="132"/>
      <c r="E8" s="287"/>
      <c r="F8" s="508">
        <f>SUM(IF(((1-(Z18/(IF(ISBLANK(D8),B8,(IF(D8=0,9.99999999999999E+29,D8))))))*SUM(F4:F7))&lt;0,0,((1-(Z18/(IF(ISBLANK(D8),B8,(IF(D8=0,9.99999999999999E+29,D8))))))*SUM(F4:F7))))</f>
        <v>1600.625</v>
      </c>
      <c r="G8" s="509">
        <f>SUM(IF(((1-(F18/(IF(ISBLANK(D8),B8,(IF(D8=0,9.99999999999999E+29,D8))))))*SUM(G4:G7))&lt;0,0,((1-(F18/(IF(ISBLANK(D8),B8,(IF(D8=0,9.99999999999999E+29,D8))))))*SUM(G4:G7))))</f>
        <v>2180.03576111149</v>
      </c>
      <c r="H8" s="509">
        <f>SUM(IF(((1-(G18/(IF(ISBLANK(D8),B8,(IF(D8=0,9.99999999999999E+29,D8))))))*SUM(H4:H7))&lt;0,0,((1-(G18/(IF(ISBLANK(D8),B8,(IF(D8=0,9.99999999999999E+29,D8))))))*SUM(H4:H7))))</f>
        <v>2234.8235682346212</v>
      </c>
      <c r="I8" s="509">
        <f>SUM(IF(((1-(H18/(IF(ISBLANK(D8),B8,(IF(D8=0,9.99999999999999E+29,D8))))))*SUM(I4:I7))&lt;0,0,((1-(H18/(IF(ISBLANK(D8),B8,(IF(D8=0,9.99999999999999E+29,D8))))))*SUM(I4:I7))))</f>
        <v>2374.6988027044413</v>
      </c>
      <c r="J8" s="510">
        <f t="shared" ref="J8" si="48">SUM(F8:I8)*3</f>
        <v>25170.549396151655</v>
      </c>
      <c r="K8" s="509">
        <f>SUM(IF(((1-(I18/(IF(ISBLANK(E8),C8,(IF(E8=0,9.99999999999999E+29,E8))))))*SUM(K4:K7))&lt;0,0,((1-(I18/(IF(ISBLANK(E8),C8,(IF(E8=0,9.99999999999999E+29,E8))))))*SUM(K4:K7))))</f>
        <v>2777.4574095733869</v>
      </c>
      <c r="L8" s="509">
        <f>SUM(IF(((1-(K18/(IF(ISBLANK(E8),C8,(IF(E8=0,9.99999999999999E+29,E8))))))*SUM(L4:L7))&lt;0,0,((1-(K18/(IF(ISBLANK(E8),C8,(IF(E8=0,9.99999999999999E+29,E8))))))*SUM(L4:L7))))</f>
        <v>3012.9360941438686</v>
      </c>
      <c r="M8" s="509">
        <f>SUM(IF(((1-(L18/(IF(ISBLANK(E8),C8,(IF(E8=0,9.99999999999999E+29,E8))))))*SUM(M4:M7))&lt;0,0,((1-(L18/(IF(ISBLANK(E8),C8,(IF(E8=0,9.99999999999999E+29,E8))))))*SUM(M4:M7))))</f>
        <v>3256.0445868150773</v>
      </c>
      <c r="N8" s="509">
        <f>SUM(IF(((1-(M18/(IF(ISBLANK(E8),C8,(IF(E8=0,9.99999999999999E+29,E8))))))*SUM(N4:N7))&lt;0,0,((1-(M18/(IF(ISBLANK(E8),C8,(IF(E8=0,9.99999999999999E+29,E8))))))*SUM(N4:N7))))</f>
        <v>3508.2430736804636</v>
      </c>
      <c r="O8" s="510">
        <f t="shared" ref="O8" si="49">SUM(K8:N8)*3</f>
        <v>37664.04349263839</v>
      </c>
      <c r="P8" s="509">
        <f>SUM(IF(((1-(N18/(IF(ISBLANK(E8),C8,(IF(E8=0,9.99999999999999E+29,E8))))))*SUM(P4:P7))&lt;0,0,((1-(N18/(IF(ISBLANK(E8),C8,(IF(E8=0,9.99999999999999E+29,E8))))))*SUM(P4:P7))))</f>
        <v>3770.4319202770598</v>
      </c>
      <c r="Q8" s="509">
        <f>SUM(IF(((1-(P18/(IF(ISBLANK(E8),C8,(IF(E8=0,9.99999999999999E+29,E8))))))*SUM(Q4:Q7))&lt;0,0,((1-(P18/(IF(ISBLANK(E8),C8,(IF(E8=0,9.99999999999999E+29,E8))))))*SUM(Q4:Q7))))</f>
        <v>4043.4353218316746</v>
      </c>
      <c r="R8" s="509">
        <f>SUM(IF(((1-(Q18/(IF(ISBLANK(E8),C8,(IF(E8=0,9.99999999999999E+29,E8))))))*SUM(R4:R7))&lt;0,0,((1-(Q18/(IF(ISBLANK(E8),C8,(IF(E8=0,9.99999999999999E+29,E8))))))*SUM(R4:R7))))</f>
        <v>4327.2386422630098</v>
      </c>
      <c r="S8" s="509">
        <f>SUM(IF(((1-(R18/(IF(ISBLANK(E8),C8,(IF(E8=0,9.99999999999999E+29,E8))))))*SUM(S4:S7))&lt;0,0,((1-(R18/(IF(ISBLANK(E8),C8,(IF(E8=0,9.99999999999999E+29,E8))))))*SUM(S4:S7))))</f>
        <v>4621.7562491715516</v>
      </c>
      <c r="T8" s="511">
        <f t="shared" ref="T8" si="50">SUM(P8:S8)*3</f>
        <v>50288.58640062988</v>
      </c>
      <c r="U8" s="562"/>
      <c r="V8" s="638">
        <f>SUM(IF(((1-(T18/(IF(ISBLANK(E8),C8,(IF(E8=0,9.99999999999999E+29,E8))))))*SUM(V4:V7))&lt;0,0,((1-(T18/(IF(ISBLANK(E8),C8,(IF(E8=0,9.99999999999999E+29,E8))))))*SUM(V4:V7))))</f>
        <v>59121.484218872181</v>
      </c>
      <c r="W8" s="510">
        <f>SUM(IF(((1-(V18/(IF(ISBLANK(E8),C8,(IF(E8=0,9.99999999999999E+29,E8))))))*SUM(W4:W7))&lt;0,0,((1-(V18/(IF(ISBLANK(E8),C8,(IF(E8=0,9.99999999999999E+29,E8))))))*SUM(W4:W7))))</f>
        <v>59866.445945886568</v>
      </c>
      <c r="X8" s="639">
        <f>SUM(IF(((1-(W18/(IF(ISBLANK(E8),C8,(IF(E8=0,9.99999999999999E+29,E8))))))*SUM(X4:X7))&lt;0,0,((1-(W18/(IF(ISBLANK(E8),C8,(IF(E8=0,9.99999999999999E+29,E8))))))*SUM(X4:X7))))</f>
        <v>58575.019791251274</v>
      </c>
      <c r="Y8" s="562"/>
      <c r="Z8" s="569">
        <f>SUM(Z4:Z7)</f>
        <v>2300</v>
      </c>
      <c r="AA8" s="607"/>
      <c r="AB8" s="508">
        <f t="shared" si="0"/>
        <v>1600.625</v>
      </c>
      <c r="AC8" s="509">
        <f t="shared" si="1"/>
        <v>1600.625</v>
      </c>
      <c r="AD8" s="509">
        <f t="shared" si="2"/>
        <v>1600.625</v>
      </c>
      <c r="AE8" s="509">
        <f t="shared" si="36"/>
        <v>4801.875</v>
      </c>
      <c r="AF8" s="133"/>
      <c r="AG8" s="508">
        <f t="shared" si="3"/>
        <v>2180.03576111149</v>
      </c>
      <c r="AH8" s="509">
        <f t="shared" si="4"/>
        <v>2180.03576111149</v>
      </c>
      <c r="AI8" s="509">
        <f t="shared" si="5"/>
        <v>2180.03576111149</v>
      </c>
      <c r="AJ8" s="509">
        <f t="shared" si="37"/>
        <v>6540.1072833344697</v>
      </c>
      <c r="AK8" s="133"/>
      <c r="AL8" s="508">
        <f t="shared" si="6"/>
        <v>2234.8235682346212</v>
      </c>
      <c r="AM8" s="509">
        <f t="shared" si="7"/>
        <v>2234.8235682346212</v>
      </c>
      <c r="AN8" s="509">
        <f t="shared" si="8"/>
        <v>2234.8235682346212</v>
      </c>
      <c r="AO8" s="509">
        <f t="shared" si="38"/>
        <v>6704.4707047038637</v>
      </c>
      <c r="AP8" s="133"/>
      <c r="AQ8" s="508">
        <f t="shared" si="9"/>
        <v>2374.6988027044413</v>
      </c>
      <c r="AR8" s="509">
        <f t="shared" si="10"/>
        <v>2374.6988027044413</v>
      </c>
      <c r="AS8" s="509">
        <f t="shared" si="11"/>
        <v>2374.6988027044413</v>
      </c>
      <c r="AT8" s="509">
        <f t="shared" si="39"/>
        <v>7124.0964081133243</v>
      </c>
      <c r="AU8" s="133"/>
      <c r="AV8" s="607"/>
      <c r="AW8" s="508">
        <f t="shared" si="12"/>
        <v>2777.4574095733869</v>
      </c>
      <c r="AX8" s="509">
        <f t="shared" si="13"/>
        <v>2777.4574095733869</v>
      </c>
      <c r="AY8" s="509">
        <f t="shared" si="14"/>
        <v>2777.4574095733869</v>
      </c>
      <c r="AZ8" s="509">
        <f t="shared" si="40"/>
        <v>8332.3722287201599</v>
      </c>
      <c r="BA8" s="133"/>
      <c r="BB8" s="508">
        <f t="shared" si="15"/>
        <v>3012.9360941438686</v>
      </c>
      <c r="BC8" s="509">
        <f t="shared" si="16"/>
        <v>3012.9360941438686</v>
      </c>
      <c r="BD8" s="509">
        <f t="shared" si="17"/>
        <v>3012.9360941438686</v>
      </c>
      <c r="BE8" s="509">
        <f t="shared" si="41"/>
        <v>9038.8082824316061</v>
      </c>
      <c r="BF8" s="133"/>
      <c r="BG8" s="508">
        <f t="shared" si="18"/>
        <v>3256.0445868150773</v>
      </c>
      <c r="BH8" s="509">
        <f t="shared" si="19"/>
        <v>3256.0445868150773</v>
      </c>
      <c r="BI8" s="509">
        <f t="shared" si="20"/>
        <v>3256.0445868150773</v>
      </c>
      <c r="BJ8" s="509">
        <f t="shared" si="42"/>
        <v>9768.133760445231</v>
      </c>
      <c r="BK8" s="133"/>
      <c r="BL8" s="508">
        <f t="shared" si="21"/>
        <v>3508.2430736804636</v>
      </c>
      <c r="BM8" s="509">
        <f t="shared" si="22"/>
        <v>3508.2430736804636</v>
      </c>
      <c r="BN8" s="509">
        <f t="shared" si="23"/>
        <v>3508.2430736804636</v>
      </c>
      <c r="BO8" s="509">
        <f t="shared" si="43"/>
        <v>10524.729221041391</v>
      </c>
      <c r="BP8" s="133"/>
      <c r="BQ8" s="562"/>
      <c r="BR8" s="508">
        <f t="shared" si="24"/>
        <v>3770.4319202770598</v>
      </c>
      <c r="BS8" s="509">
        <f t="shared" si="25"/>
        <v>3770.4319202770598</v>
      </c>
      <c r="BT8" s="509">
        <f t="shared" si="26"/>
        <v>3770.4319202770598</v>
      </c>
      <c r="BU8" s="509">
        <f t="shared" si="44"/>
        <v>11311.295760831179</v>
      </c>
      <c r="BV8" s="133"/>
      <c r="BW8" s="508">
        <f t="shared" si="27"/>
        <v>4043.4353218316746</v>
      </c>
      <c r="BX8" s="509">
        <f t="shared" si="28"/>
        <v>4043.4353218316746</v>
      </c>
      <c r="BY8" s="509">
        <f t="shared" si="29"/>
        <v>4043.4353218316746</v>
      </c>
      <c r="BZ8" s="509">
        <f t="shared" si="45"/>
        <v>12130.305965495023</v>
      </c>
      <c r="CA8" s="133"/>
      <c r="CB8" s="508">
        <f t="shared" si="30"/>
        <v>4327.2386422630098</v>
      </c>
      <c r="CC8" s="509">
        <f t="shared" si="31"/>
        <v>4327.2386422630098</v>
      </c>
      <c r="CD8" s="509">
        <f t="shared" si="32"/>
        <v>4327.2386422630098</v>
      </c>
      <c r="CE8" s="509">
        <f>SUM(CB8:CD8)</f>
        <v>12981.715926789029</v>
      </c>
      <c r="CF8" s="133"/>
      <c r="CG8" s="508">
        <f t="shared" si="33"/>
        <v>4621.7562491715516</v>
      </c>
      <c r="CH8" s="509">
        <f t="shared" si="34"/>
        <v>4621.7562491715516</v>
      </c>
      <c r="CI8" s="509">
        <f t="shared" si="35"/>
        <v>4621.7562491715516</v>
      </c>
      <c r="CJ8" s="509">
        <f t="shared" si="47"/>
        <v>13865.268747514656</v>
      </c>
      <c r="CK8" s="133"/>
      <c r="CL8" s="134"/>
    </row>
    <row r="9" spans="1:179" s="144" customFormat="1" ht="9.75" customHeight="1" x14ac:dyDescent="0.15">
      <c r="A9" s="470" t="s">
        <v>135</v>
      </c>
      <c r="B9" s="288">
        <v>0.03</v>
      </c>
      <c r="C9" s="647">
        <v>-1E-3</v>
      </c>
      <c r="D9" s="625"/>
      <c r="E9" s="289"/>
      <c r="F9" s="137">
        <v>0.01</v>
      </c>
      <c r="G9" s="138">
        <v>0.03</v>
      </c>
      <c r="H9" s="483">
        <f>SUM(IF((0*(IF(ISBLANK(E9),C9,E9)))+(IF(ISBLANK(D9),B9,D9)) &lt; 0, 0, (0*(IF(ISBLANK(E9),C9,E9)))+(IF(ISBLANK(D9),B9,D9))))</f>
        <v>0.03</v>
      </c>
      <c r="I9" s="483">
        <f>SUM(IF((1*(IF(ISBLANK(E9),C9,E9)))+(IF(ISBLANK(D9),B9,D9)) &lt; 0, 0, (1*(IF(ISBLANK(E9),C9,E9)))+(IF(ISBLANK(D9),B9,D9))))</f>
        <v>2.8999999999999998E-2</v>
      </c>
      <c r="J9" s="139">
        <f>SUM(((1+F9)*(1+F9)*(1+F9)*(1+G9)*(1+G9)*(1+G9)*(1+H9)*(1+H9)*(1+H9)*(1+I9)*(1+I9)*(1+I9))-1)</f>
        <v>0.34039745281817013</v>
      </c>
      <c r="K9" s="483">
        <f>SUM(IF((2*(IF(ISBLANK(E9),C9,E9)))+(IF(ISBLANK(D9),B9,D9)) &lt; 0, 0, (2*(IF(ISBLANK(E9),C9,E9)))+(IF(ISBLANK(D9),B9,D9))))</f>
        <v>2.7999999999999997E-2</v>
      </c>
      <c r="L9" s="483">
        <f>SUM(IF((3*(IF(ISBLANK(E9),C9,E9)))+(IF(ISBLANK(D9),B9,D9)) &lt; 0, 0, (3*(IF(ISBLANK(E9),C9,E9)))+(IF(ISBLANK(D9),B9,D9))))</f>
        <v>2.7E-2</v>
      </c>
      <c r="M9" s="483">
        <f>SUM(IF((4*(IF(ISBLANK(E9),C9,E9)))+(IF(ISBLANK(D9),B9,D9)) &lt; 0, 0, (4*(IF(ISBLANK(E9),C9,E9)))+(IF(ISBLANK(D9),B9,D9))))</f>
        <v>2.5999999999999999E-2</v>
      </c>
      <c r="N9" s="483">
        <f>SUM(IF((5*(IF(ISBLANK(E9),C9,E9)))+(IF(ISBLANK(D9),B9,D9)) &lt; 0, 0, (5*(IF(ISBLANK(E9),C9,E9)))+(IF(ISBLANK(D9),B9,D9))))</f>
        <v>2.4999999999999998E-2</v>
      </c>
      <c r="O9" s="139">
        <f>SUM(((1+K9)*(1+K9)*(1+K9)*(1+L9)*(1+L9)*(1+L9)*(1+M9)*(1+M9)*(1+M9)*(1+N9)*(1+N9)*(1+N9))-1)</f>
        <v>0.36868766494787564</v>
      </c>
      <c r="P9" s="483">
        <f>SUM(IF((6*(IF(ISBLANK(E9),C9,E9)))+(IF(ISBLANK(D9),B9,D9)) &lt; 0, 0, (6*(IF(ISBLANK(E9),C9,E9)))+(IF(ISBLANK(D9),B9,D9))))</f>
        <v>2.4E-2</v>
      </c>
      <c r="Q9" s="483">
        <f>SUM(IF((7*(IF(ISBLANK(E9),C9,E9)))+(IF(ISBLANK(D9),B9,D9)) &lt; 0, 0, (7*(IF(ISBLANK(E9),C9,E9)))+(IF(ISBLANK(D9),B9,D9))))</f>
        <v>2.3E-2</v>
      </c>
      <c r="R9" s="483">
        <f>SUM(IF((8*(IF(ISBLANK(E9),C9,E9)))+(IF(ISBLANK(D9),B9,D9)) &lt; 0, 0, (8*(IF(ISBLANK(E9),C9,E9)))+(IF(ISBLANK(D9),B9,D9))))</f>
        <v>2.1999999999999999E-2</v>
      </c>
      <c r="S9" s="483">
        <f>SUM(IF((9*(IF(ISBLANK(E9),C9,E9)))+(IF(ISBLANK(D9),B9,D9)) &lt; 0, 0, (9*(IF(ISBLANK(E9),C9,E9)))+(IF(ISBLANK(D9),B9,D9))))</f>
        <v>2.0999999999999998E-2</v>
      </c>
      <c r="T9" s="136">
        <f>SUM(((1+P9)*(1+P9)*(1+P9)*(1+Q9)*(1+Q9)*(1+Q9)*(1+R9)*(1+R9)*(1+R9)*(1+S9)*(1+S9)*(1+S9))-1)</f>
        <v>0.30604062088628847</v>
      </c>
      <c r="U9" s="290"/>
      <c r="V9" s="141">
        <f>SUM(IF((12*(IF(ISBLANK(E9),C9,E9)))+(IF(ISBLANK(D9),B9,D9)) &lt; 0, 0, (12*(IF(ISBLANK(E9),C9,E9)))+(IF(ISBLANK(D9),B9,D9))))*12</f>
        <v>0.21599999999999997</v>
      </c>
      <c r="W9" s="139">
        <f>SUM(IF((15*(IF(ISBLANK(E9),C9,E9)))+(IF(ISBLANK(D9),B9,D9)) &lt; 0, 0, (15*(IF(ISBLANK(E9),C9,E9)))+(IF(ISBLANK(D9),B9,D9))))*12</f>
        <v>0.18</v>
      </c>
      <c r="X9" s="140">
        <f>SUM(IF((18*(IF(ISBLANK(E9),C9,E9)))+(IF(ISBLANK(D9),B9,D9)) &lt; 0, 0, (18*(IF(ISBLANK(E9),C9,E9)))+(IF(ISBLANK(D9),B9,D9))))*12</f>
        <v>0.14399999999999996</v>
      </c>
      <c r="Y9" s="142"/>
      <c r="Z9" s="570">
        <v>0</v>
      </c>
      <c r="AA9" s="608"/>
      <c r="AB9" s="588">
        <f t="shared" si="0"/>
        <v>0.01</v>
      </c>
      <c r="AC9" s="483">
        <f t="shared" si="1"/>
        <v>0.01</v>
      </c>
      <c r="AD9" s="483">
        <f t="shared" si="2"/>
        <v>0.01</v>
      </c>
      <c r="AE9" s="483">
        <f t="shared" si="36"/>
        <v>0.03</v>
      </c>
      <c r="AF9" s="143"/>
      <c r="AG9" s="588">
        <f t="shared" si="3"/>
        <v>0.03</v>
      </c>
      <c r="AH9" s="483">
        <f t="shared" si="4"/>
        <v>0.03</v>
      </c>
      <c r="AI9" s="483">
        <f t="shared" si="5"/>
        <v>0.03</v>
      </c>
      <c r="AJ9" s="483">
        <f t="shared" si="37"/>
        <v>0.09</v>
      </c>
      <c r="AK9" s="143"/>
      <c r="AL9" s="588">
        <f t="shared" si="6"/>
        <v>0.03</v>
      </c>
      <c r="AM9" s="483">
        <f t="shared" si="7"/>
        <v>0.03</v>
      </c>
      <c r="AN9" s="483">
        <f t="shared" si="8"/>
        <v>0.03</v>
      </c>
      <c r="AO9" s="483">
        <f t="shared" si="38"/>
        <v>0.09</v>
      </c>
      <c r="AP9" s="143"/>
      <c r="AQ9" s="588">
        <f t="shared" si="9"/>
        <v>2.8999999999999998E-2</v>
      </c>
      <c r="AR9" s="483">
        <f t="shared" si="10"/>
        <v>2.8999999999999998E-2</v>
      </c>
      <c r="AS9" s="483">
        <f t="shared" si="11"/>
        <v>2.8999999999999998E-2</v>
      </c>
      <c r="AT9" s="483">
        <f t="shared" si="39"/>
        <v>8.6999999999999994E-2</v>
      </c>
      <c r="AU9" s="143"/>
      <c r="AV9" s="608"/>
      <c r="AW9" s="588">
        <f t="shared" si="12"/>
        <v>2.7999999999999997E-2</v>
      </c>
      <c r="AX9" s="483">
        <f t="shared" si="13"/>
        <v>2.7999999999999997E-2</v>
      </c>
      <c r="AY9" s="483">
        <f t="shared" si="14"/>
        <v>2.7999999999999997E-2</v>
      </c>
      <c r="AZ9" s="483">
        <f t="shared" si="40"/>
        <v>8.3999999999999991E-2</v>
      </c>
      <c r="BA9" s="143"/>
      <c r="BB9" s="588">
        <f t="shared" si="15"/>
        <v>2.7E-2</v>
      </c>
      <c r="BC9" s="483">
        <f t="shared" si="16"/>
        <v>2.7E-2</v>
      </c>
      <c r="BD9" s="483">
        <f t="shared" si="17"/>
        <v>2.7E-2</v>
      </c>
      <c r="BE9" s="483">
        <f t="shared" si="41"/>
        <v>8.1000000000000003E-2</v>
      </c>
      <c r="BF9" s="143"/>
      <c r="BG9" s="588">
        <f t="shared" si="18"/>
        <v>2.5999999999999999E-2</v>
      </c>
      <c r="BH9" s="483">
        <f t="shared" si="19"/>
        <v>2.5999999999999999E-2</v>
      </c>
      <c r="BI9" s="483">
        <f t="shared" si="20"/>
        <v>2.5999999999999999E-2</v>
      </c>
      <c r="BJ9" s="483">
        <f t="shared" si="42"/>
        <v>7.8E-2</v>
      </c>
      <c r="BK9" s="143"/>
      <c r="BL9" s="588">
        <f t="shared" si="21"/>
        <v>2.4999999999999998E-2</v>
      </c>
      <c r="BM9" s="483">
        <f t="shared" si="22"/>
        <v>2.4999999999999998E-2</v>
      </c>
      <c r="BN9" s="483">
        <f t="shared" si="23"/>
        <v>2.4999999999999998E-2</v>
      </c>
      <c r="BO9" s="483">
        <f t="shared" ref="BO9:BO15" si="51">SUM((BL9+BM9+BN9))</f>
        <v>7.4999999999999997E-2</v>
      </c>
      <c r="BP9" s="143"/>
      <c r="BQ9" s="290"/>
      <c r="BR9" s="588">
        <f t="shared" si="24"/>
        <v>2.4E-2</v>
      </c>
      <c r="BS9" s="483">
        <f t="shared" si="25"/>
        <v>2.4E-2</v>
      </c>
      <c r="BT9" s="483">
        <f t="shared" si="26"/>
        <v>2.4E-2</v>
      </c>
      <c r="BU9" s="483">
        <f t="shared" ref="BU9:BU15" si="52">SUM((BR9+BS9+BT9))</f>
        <v>7.2000000000000008E-2</v>
      </c>
      <c r="BV9" s="143"/>
      <c r="BW9" s="588">
        <f t="shared" si="27"/>
        <v>2.3E-2</v>
      </c>
      <c r="BX9" s="483">
        <f t="shared" si="28"/>
        <v>2.3E-2</v>
      </c>
      <c r="BY9" s="483">
        <f t="shared" si="29"/>
        <v>2.3E-2</v>
      </c>
      <c r="BZ9" s="483">
        <f t="shared" ref="BZ9:BZ15" si="53">SUM((BW9+BX9+BY9))</f>
        <v>6.9000000000000006E-2</v>
      </c>
      <c r="CA9" s="143"/>
      <c r="CB9" s="588">
        <f t="shared" si="30"/>
        <v>2.1999999999999999E-2</v>
      </c>
      <c r="CC9" s="483">
        <f t="shared" si="31"/>
        <v>2.1999999999999999E-2</v>
      </c>
      <c r="CD9" s="483">
        <f t="shared" si="32"/>
        <v>2.1999999999999999E-2</v>
      </c>
      <c r="CE9" s="483">
        <f t="shared" ref="CE9:CE16" si="54">SUM((CB9+CC9+CD9))</f>
        <v>6.6000000000000003E-2</v>
      </c>
      <c r="CF9" s="143"/>
      <c r="CG9" s="588">
        <f t="shared" si="33"/>
        <v>2.0999999999999998E-2</v>
      </c>
      <c r="CH9" s="483">
        <f t="shared" si="34"/>
        <v>2.0999999999999998E-2</v>
      </c>
      <c r="CI9" s="483">
        <f t="shared" si="35"/>
        <v>2.0999999999999998E-2</v>
      </c>
      <c r="CJ9" s="483">
        <f t="shared" ref="CJ9:CJ16" si="55">SUM((CG9+CH9+CI9))</f>
        <v>6.3E-2</v>
      </c>
      <c r="CK9" s="143"/>
    </row>
    <row r="10" spans="1:179" s="144" customFormat="1" ht="9.75" customHeight="1" x14ac:dyDescent="0.15">
      <c r="A10" s="472" t="s">
        <v>136</v>
      </c>
      <c r="B10" s="167">
        <v>0.03</v>
      </c>
      <c r="C10" s="285">
        <v>-2E-3</v>
      </c>
      <c r="D10" s="626"/>
      <c r="E10" s="292"/>
      <c r="F10" s="146">
        <v>0</v>
      </c>
      <c r="G10" s="147">
        <v>0.02</v>
      </c>
      <c r="H10" s="484">
        <f t="shared" ref="H10:H13" si="56">SUM(IF((0*(IF(ISBLANK(E10),C10,E10)))+(IF(ISBLANK(D10),B10,D10)) &lt; 0, 0, (0*(IF(ISBLANK(E10),C10,E10)))+(IF(ISBLANK(D10),B10,D10))))</f>
        <v>0.03</v>
      </c>
      <c r="I10" s="484">
        <f t="shared" ref="I10:I13" si="57">SUM(IF((1*(IF(ISBLANK(E10),C10,E10)))+(IF(ISBLANK(D10),B10,D10)) &lt; 0, 0, (1*(IF(ISBLANK(E10),C10,E10)))+(IF(ISBLANK(D10),B10,D10))))</f>
        <v>2.7999999999999997E-2</v>
      </c>
      <c r="J10" s="148">
        <f t="shared" ref="J10:J13" si="58">SUM(((1+F10)*(1+F10)*(1+F10)*(1+G10)*(1+G10)*(1+G10)*(1+H10)*(1+H10)*(1+H10)*(1+I10)*(1+I10)*(1+I10))-1)</f>
        <v>0.25977078747446236</v>
      </c>
      <c r="K10" s="484">
        <f t="shared" ref="K10:K13" si="59">SUM(IF((2*(IF(ISBLANK(E10),C10,E10)))+(IF(ISBLANK(D10),B10,D10)) &lt; 0, 0, (2*(IF(ISBLANK(E10),C10,E10)))+(IF(ISBLANK(D10),B10,D10))))</f>
        <v>2.5999999999999999E-2</v>
      </c>
      <c r="L10" s="484">
        <f t="shared" ref="L10:L13" si="60">SUM(IF((3*(IF(ISBLANK(E10),C10,E10)))+(IF(ISBLANK(D10),B10,D10)) &lt; 0, 0, (3*(IF(ISBLANK(E10),C10,E10)))+(IF(ISBLANK(D10),B10,D10))))</f>
        <v>2.4E-2</v>
      </c>
      <c r="M10" s="484">
        <f t="shared" ref="M10:M13" si="61">SUM(IF((4*(IF(ISBLANK(E10),C10,E10)))+(IF(ISBLANK(D10),B10,D10)) &lt; 0, 0, (4*(IF(ISBLANK(E10),C10,E10)))+(IF(ISBLANK(D10),B10,D10))))</f>
        <v>2.1999999999999999E-2</v>
      </c>
      <c r="N10" s="484">
        <f t="shared" ref="N10:N13" si="62">SUM(IF((5*(IF(ISBLANK(E10),C10,E10)))+(IF(ISBLANK(D10),B10,D10)) &lt; 0, 0, (5*(IF(ISBLANK(E10),C10,E10)))+(IF(ISBLANK(D10),B10,D10))))</f>
        <v>1.9999999999999997E-2</v>
      </c>
      <c r="O10" s="148">
        <f t="shared" ref="O10:O15" si="63">SUM(((1+K10)*(1+K10)*(1+K10)*(1+L10)*(1+L10)*(1+L10)*(1+M10)*(1+M10)*(1+M10)*(1+N10)*(1+N10)*(1+N10))-1)</f>
        <v>0.31369683902803924</v>
      </c>
      <c r="P10" s="484">
        <f t="shared" ref="P10:P13" si="64">SUM(IF((6*(IF(ISBLANK(E10),C10,E10)))+(IF(ISBLANK(D10),B10,D10)) &lt; 0, 0, (6*(IF(ISBLANK(E10),C10,E10)))+(IF(ISBLANK(D10),B10,D10))))</f>
        <v>1.7999999999999999E-2</v>
      </c>
      <c r="Q10" s="484">
        <f t="shared" ref="Q10:Q13" si="65">SUM(IF((7*(IF(ISBLANK(E10),C10,E10)))+(IF(ISBLANK(D10),B10,D10)) &lt; 0, 0, (7*(IF(ISBLANK(E10),C10,E10)))+(IF(ISBLANK(D10),B10,D10))))</f>
        <v>1.6E-2</v>
      </c>
      <c r="R10" s="484">
        <f t="shared" ref="R10:R13" si="66">SUM(IF((8*(IF(ISBLANK(E10),C10,E10)))+(IF(ISBLANK(D10),B10,D10)) &lt; 0, 0, (8*(IF(ISBLANK(E10),C10,E10)))+(IF(ISBLANK(D10),B10,D10))))</f>
        <v>1.3999999999999999E-2</v>
      </c>
      <c r="S10" s="484">
        <f t="shared" ref="S10:S13" si="67">SUM(IF((9*(IF(ISBLANK(E10),C10,E10)))+(IF(ISBLANK(D10),B10,D10)) &lt; 0, 0, (9*(IF(ISBLANK(E10),C10,E10)))+(IF(ISBLANK(D10),B10,D10))))</f>
        <v>1.1999999999999997E-2</v>
      </c>
      <c r="T10" s="126">
        <f t="shared" ref="T10:T15" si="68">SUM(((1+P10)*(1+P10)*(1+P10)*(1+Q10)*(1+Q10)*(1+Q10)*(1+R10)*(1+R10)*(1+R10)*(1+S10)*(1+S10)*(1+S10))-1)</f>
        <v>0.19558335560514584</v>
      </c>
      <c r="U10" s="293"/>
      <c r="V10" s="150">
        <f>SUM(IF((12*(IF(ISBLANK(E10),C10,E10)))+(IF(ISBLANK(D10),B10,D10)) &lt; 0, 0, (12*(IF(ISBLANK(E10),C10,E10)))+(IF(ISBLANK(D10),B10,D10))))*12</f>
        <v>7.1999999999999981E-2</v>
      </c>
      <c r="W10" s="148">
        <f>SUM(IF((15*(IF(ISBLANK(E10),C10,E10)))+(IF(ISBLANK(D10),B10,D10)) &lt; 0, 0, (15*(IF(ISBLANK(E10),C10,E10)))+(IF(ISBLANK(D10),B10,D10))))*12</f>
        <v>0</v>
      </c>
      <c r="X10" s="149">
        <f>SUM(IF((18*(IF(ISBLANK(E10),C10,E10)))+(IF(ISBLANK(D10),B10,D10)) &lt; 0, 0, (18*(IF(ISBLANK(E10),C10,E10)))+(IF(ISBLANK(D10),B10,D10))))*12</f>
        <v>0</v>
      </c>
      <c r="Y10" s="151"/>
      <c r="Z10" s="571">
        <v>0</v>
      </c>
      <c r="AA10" s="609"/>
      <c r="AB10" s="589">
        <f t="shared" si="0"/>
        <v>0</v>
      </c>
      <c r="AC10" s="484">
        <f t="shared" si="1"/>
        <v>0</v>
      </c>
      <c r="AD10" s="484">
        <f t="shared" si="2"/>
        <v>0</v>
      </c>
      <c r="AE10" s="484">
        <f t="shared" si="36"/>
        <v>0</v>
      </c>
      <c r="AF10" s="152"/>
      <c r="AG10" s="589">
        <f t="shared" si="3"/>
        <v>0.02</v>
      </c>
      <c r="AH10" s="484">
        <f t="shared" si="4"/>
        <v>0.02</v>
      </c>
      <c r="AI10" s="484">
        <f t="shared" si="5"/>
        <v>0.02</v>
      </c>
      <c r="AJ10" s="484">
        <f t="shared" si="37"/>
        <v>0.06</v>
      </c>
      <c r="AK10" s="152"/>
      <c r="AL10" s="589">
        <f t="shared" si="6"/>
        <v>0.03</v>
      </c>
      <c r="AM10" s="484">
        <f t="shared" si="7"/>
        <v>0.03</v>
      </c>
      <c r="AN10" s="484">
        <f t="shared" si="8"/>
        <v>0.03</v>
      </c>
      <c r="AO10" s="484">
        <f t="shared" si="38"/>
        <v>0.09</v>
      </c>
      <c r="AP10" s="152"/>
      <c r="AQ10" s="589">
        <f t="shared" si="9"/>
        <v>2.7999999999999997E-2</v>
      </c>
      <c r="AR10" s="484">
        <f t="shared" si="10"/>
        <v>2.7999999999999997E-2</v>
      </c>
      <c r="AS10" s="484">
        <f t="shared" si="11"/>
        <v>2.7999999999999997E-2</v>
      </c>
      <c r="AT10" s="484">
        <f t="shared" si="39"/>
        <v>8.3999999999999991E-2</v>
      </c>
      <c r="AU10" s="152"/>
      <c r="AV10" s="609"/>
      <c r="AW10" s="589">
        <f t="shared" si="12"/>
        <v>2.5999999999999999E-2</v>
      </c>
      <c r="AX10" s="484">
        <f t="shared" si="13"/>
        <v>2.5999999999999999E-2</v>
      </c>
      <c r="AY10" s="484">
        <f t="shared" si="14"/>
        <v>2.5999999999999999E-2</v>
      </c>
      <c r="AZ10" s="484">
        <f t="shared" si="40"/>
        <v>7.8E-2</v>
      </c>
      <c r="BA10" s="152"/>
      <c r="BB10" s="589">
        <f t="shared" si="15"/>
        <v>2.4E-2</v>
      </c>
      <c r="BC10" s="484">
        <f t="shared" si="16"/>
        <v>2.4E-2</v>
      </c>
      <c r="BD10" s="484">
        <f t="shared" si="17"/>
        <v>2.4E-2</v>
      </c>
      <c r="BE10" s="484">
        <f t="shared" si="41"/>
        <v>7.2000000000000008E-2</v>
      </c>
      <c r="BF10" s="152"/>
      <c r="BG10" s="589">
        <f t="shared" si="18"/>
        <v>2.1999999999999999E-2</v>
      </c>
      <c r="BH10" s="484">
        <f t="shared" si="19"/>
        <v>2.1999999999999999E-2</v>
      </c>
      <c r="BI10" s="484">
        <f t="shared" si="20"/>
        <v>2.1999999999999999E-2</v>
      </c>
      <c r="BJ10" s="484">
        <f t="shared" si="42"/>
        <v>6.6000000000000003E-2</v>
      </c>
      <c r="BK10" s="152"/>
      <c r="BL10" s="589">
        <f t="shared" si="21"/>
        <v>1.9999999999999997E-2</v>
      </c>
      <c r="BM10" s="484">
        <f t="shared" si="22"/>
        <v>1.9999999999999997E-2</v>
      </c>
      <c r="BN10" s="484">
        <f t="shared" si="23"/>
        <v>1.9999999999999997E-2</v>
      </c>
      <c r="BO10" s="484">
        <f t="shared" si="51"/>
        <v>5.9999999999999991E-2</v>
      </c>
      <c r="BP10" s="152"/>
      <c r="BQ10" s="293"/>
      <c r="BR10" s="589">
        <f t="shared" si="24"/>
        <v>1.7999999999999999E-2</v>
      </c>
      <c r="BS10" s="484">
        <f t="shared" si="25"/>
        <v>1.7999999999999999E-2</v>
      </c>
      <c r="BT10" s="484">
        <f t="shared" si="26"/>
        <v>1.7999999999999999E-2</v>
      </c>
      <c r="BU10" s="484">
        <f t="shared" si="52"/>
        <v>5.3999999999999992E-2</v>
      </c>
      <c r="BV10" s="152"/>
      <c r="BW10" s="589">
        <f t="shared" si="27"/>
        <v>1.6E-2</v>
      </c>
      <c r="BX10" s="484">
        <f t="shared" si="28"/>
        <v>1.6E-2</v>
      </c>
      <c r="BY10" s="484">
        <f t="shared" si="29"/>
        <v>1.6E-2</v>
      </c>
      <c r="BZ10" s="484">
        <f t="shared" si="53"/>
        <v>4.8000000000000001E-2</v>
      </c>
      <c r="CA10" s="152"/>
      <c r="CB10" s="589">
        <f t="shared" si="30"/>
        <v>1.3999999999999999E-2</v>
      </c>
      <c r="CC10" s="484">
        <f t="shared" si="31"/>
        <v>1.3999999999999999E-2</v>
      </c>
      <c r="CD10" s="484">
        <f t="shared" si="32"/>
        <v>1.3999999999999999E-2</v>
      </c>
      <c r="CE10" s="484">
        <f t="shared" si="54"/>
        <v>4.1999999999999996E-2</v>
      </c>
      <c r="CF10" s="152"/>
      <c r="CG10" s="589">
        <f t="shared" si="33"/>
        <v>1.1999999999999997E-2</v>
      </c>
      <c r="CH10" s="484">
        <f t="shared" si="34"/>
        <v>1.1999999999999997E-2</v>
      </c>
      <c r="CI10" s="484">
        <f t="shared" si="35"/>
        <v>1.1999999999999997E-2</v>
      </c>
      <c r="CJ10" s="484">
        <f t="shared" si="55"/>
        <v>3.599999999999999E-2</v>
      </c>
      <c r="CK10" s="152"/>
    </row>
    <row r="11" spans="1:179" s="144" customFormat="1" ht="9.75" customHeight="1" x14ac:dyDescent="0.15">
      <c r="A11" s="472" t="s">
        <v>138</v>
      </c>
      <c r="B11" s="167">
        <v>0.02</v>
      </c>
      <c r="C11" s="285">
        <v>-4.0000000000000001E-3</v>
      </c>
      <c r="D11" s="626"/>
      <c r="E11" s="292"/>
      <c r="F11" s="146">
        <v>0</v>
      </c>
      <c r="G11" s="147">
        <v>0.02</v>
      </c>
      <c r="H11" s="484">
        <f t="shared" si="56"/>
        <v>0.02</v>
      </c>
      <c r="I11" s="484">
        <f t="shared" si="57"/>
        <v>1.6E-2</v>
      </c>
      <c r="J11" s="148">
        <f t="shared" si="58"/>
        <v>0.18108772088793623</v>
      </c>
      <c r="K11" s="484">
        <f t="shared" si="59"/>
        <v>1.2E-2</v>
      </c>
      <c r="L11" s="484">
        <f t="shared" si="60"/>
        <v>8.0000000000000002E-3</v>
      </c>
      <c r="M11" s="484">
        <f t="shared" si="61"/>
        <v>4.0000000000000001E-3</v>
      </c>
      <c r="N11" s="484">
        <f t="shared" si="62"/>
        <v>0</v>
      </c>
      <c r="O11" s="148">
        <f t="shared" si="63"/>
        <v>7.4296775667000547E-2</v>
      </c>
      <c r="P11" s="484">
        <f t="shared" si="64"/>
        <v>0</v>
      </c>
      <c r="Q11" s="484">
        <f t="shared" si="65"/>
        <v>0</v>
      </c>
      <c r="R11" s="484">
        <f t="shared" si="66"/>
        <v>0</v>
      </c>
      <c r="S11" s="484">
        <f t="shared" si="67"/>
        <v>0</v>
      </c>
      <c r="T11" s="126">
        <f t="shared" si="68"/>
        <v>0</v>
      </c>
      <c r="U11" s="293"/>
      <c r="V11" s="150">
        <f>SUM(IF((12*(IF(ISBLANK(E11),C11,E11)))+(IF(ISBLANK(D11),B11,D11)) &lt; 0, 0, (12*(IF(ISBLANK(E11),C11,E11)))+(IF(ISBLANK(D11),B11,D11))))*12</f>
        <v>0</v>
      </c>
      <c r="W11" s="148">
        <f>SUM(IF((15*(IF(ISBLANK(E11),C11,E11)))+(IF(ISBLANK(D11),B11,D11)) &lt; 0, 0, (15*(IF(ISBLANK(E11),C11,E11)))+(IF(ISBLANK(D11),B11,D11))))*12</f>
        <v>0</v>
      </c>
      <c r="X11" s="149">
        <f>SUM(IF((18*(IF(ISBLANK(E11),C11,E11)))+(IF(ISBLANK(D11),B11,D11)) &lt; 0, 0, (18*(IF(ISBLANK(E11),C11,E11)))+(IF(ISBLANK(D11),B11,D11))))*12</f>
        <v>0</v>
      </c>
      <c r="Y11" s="151"/>
      <c r="Z11" s="571">
        <v>0</v>
      </c>
      <c r="AA11" s="609"/>
      <c r="AB11" s="589">
        <f t="shared" si="0"/>
        <v>0</v>
      </c>
      <c r="AC11" s="484">
        <f t="shared" si="1"/>
        <v>0</v>
      </c>
      <c r="AD11" s="484">
        <f t="shared" si="2"/>
        <v>0</v>
      </c>
      <c r="AE11" s="484">
        <f t="shared" si="36"/>
        <v>0</v>
      </c>
      <c r="AF11" s="152"/>
      <c r="AG11" s="589">
        <f t="shared" si="3"/>
        <v>0.02</v>
      </c>
      <c r="AH11" s="484">
        <f t="shared" si="4"/>
        <v>0.02</v>
      </c>
      <c r="AI11" s="484">
        <f t="shared" si="5"/>
        <v>0.02</v>
      </c>
      <c r="AJ11" s="484">
        <f t="shared" si="37"/>
        <v>0.06</v>
      </c>
      <c r="AK11" s="152"/>
      <c r="AL11" s="589">
        <f t="shared" si="6"/>
        <v>0.02</v>
      </c>
      <c r="AM11" s="484">
        <f t="shared" si="7"/>
        <v>0.02</v>
      </c>
      <c r="AN11" s="484">
        <f t="shared" si="8"/>
        <v>0.02</v>
      </c>
      <c r="AO11" s="484">
        <f t="shared" si="38"/>
        <v>0.06</v>
      </c>
      <c r="AP11" s="152"/>
      <c r="AQ11" s="589">
        <f t="shared" si="9"/>
        <v>1.6E-2</v>
      </c>
      <c r="AR11" s="484">
        <f t="shared" si="10"/>
        <v>1.6E-2</v>
      </c>
      <c r="AS11" s="484">
        <f t="shared" si="11"/>
        <v>1.6E-2</v>
      </c>
      <c r="AT11" s="484">
        <f t="shared" si="39"/>
        <v>4.8000000000000001E-2</v>
      </c>
      <c r="AU11" s="152"/>
      <c r="AV11" s="609"/>
      <c r="AW11" s="589">
        <f t="shared" si="12"/>
        <v>1.2E-2</v>
      </c>
      <c r="AX11" s="484">
        <f t="shared" si="13"/>
        <v>1.2E-2</v>
      </c>
      <c r="AY11" s="484">
        <f t="shared" si="14"/>
        <v>1.2E-2</v>
      </c>
      <c r="AZ11" s="484">
        <f t="shared" si="40"/>
        <v>3.6000000000000004E-2</v>
      </c>
      <c r="BA11" s="152"/>
      <c r="BB11" s="589">
        <f t="shared" si="15"/>
        <v>8.0000000000000002E-3</v>
      </c>
      <c r="BC11" s="484">
        <f t="shared" si="16"/>
        <v>8.0000000000000002E-3</v>
      </c>
      <c r="BD11" s="484">
        <f t="shared" si="17"/>
        <v>8.0000000000000002E-3</v>
      </c>
      <c r="BE11" s="484">
        <f t="shared" si="41"/>
        <v>2.4E-2</v>
      </c>
      <c r="BF11" s="152"/>
      <c r="BG11" s="589">
        <f t="shared" si="18"/>
        <v>4.0000000000000001E-3</v>
      </c>
      <c r="BH11" s="484">
        <f t="shared" si="19"/>
        <v>4.0000000000000001E-3</v>
      </c>
      <c r="BI11" s="484">
        <f t="shared" si="20"/>
        <v>4.0000000000000001E-3</v>
      </c>
      <c r="BJ11" s="484">
        <f t="shared" si="42"/>
        <v>1.2E-2</v>
      </c>
      <c r="BK11" s="152"/>
      <c r="BL11" s="589">
        <f t="shared" si="21"/>
        <v>0</v>
      </c>
      <c r="BM11" s="484">
        <f t="shared" si="22"/>
        <v>0</v>
      </c>
      <c r="BN11" s="484">
        <f t="shared" si="23"/>
        <v>0</v>
      </c>
      <c r="BO11" s="484">
        <f t="shared" si="51"/>
        <v>0</v>
      </c>
      <c r="BP11" s="152"/>
      <c r="BQ11" s="293"/>
      <c r="BR11" s="589">
        <f t="shared" si="24"/>
        <v>0</v>
      </c>
      <c r="BS11" s="484">
        <f t="shared" si="25"/>
        <v>0</v>
      </c>
      <c r="BT11" s="484">
        <f t="shared" si="26"/>
        <v>0</v>
      </c>
      <c r="BU11" s="484">
        <f t="shared" si="52"/>
        <v>0</v>
      </c>
      <c r="BV11" s="152"/>
      <c r="BW11" s="589">
        <f t="shared" si="27"/>
        <v>0</v>
      </c>
      <c r="BX11" s="484">
        <f t="shared" si="28"/>
        <v>0</v>
      </c>
      <c r="BY11" s="484">
        <f t="shared" si="29"/>
        <v>0</v>
      </c>
      <c r="BZ11" s="484">
        <f t="shared" si="53"/>
        <v>0</v>
      </c>
      <c r="CA11" s="152"/>
      <c r="CB11" s="589">
        <f t="shared" si="30"/>
        <v>0</v>
      </c>
      <c r="CC11" s="484">
        <f t="shared" si="31"/>
        <v>0</v>
      </c>
      <c r="CD11" s="484">
        <f t="shared" si="32"/>
        <v>0</v>
      </c>
      <c r="CE11" s="484">
        <f t="shared" si="54"/>
        <v>0</v>
      </c>
      <c r="CF11" s="152"/>
      <c r="CG11" s="589">
        <f t="shared" si="33"/>
        <v>0</v>
      </c>
      <c r="CH11" s="484">
        <f t="shared" si="34"/>
        <v>0</v>
      </c>
      <c r="CI11" s="484">
        <f t="shared" si="35"/>
        <v>0</v>
      </c>
      <c r="CJ11" s="484">
        <f t="shared" si="55"/>
        <v>0</v>
      </c>
      <c r="CK11" s="152"/>
    </row>
    <row r="12" spans="1:179" s="144" customFormat="1" ht="9.75" customHeight="1" x14ac:dyDescent="0.15">
      <c r="A12" s="472" t="s">
        <v>137</v>
      </c>
      <c r="B12" s="167">
        <v>0.01</v>
      </c>
      <c r="C12" s="285">
        <v>-5.0000000000000001E-3</v>
      </c>
      <c r="D12" s="291"/>
      <c r="E12" s="292"/>
      <c r="F12" s="146">
        <v>0</v>
      </c>
      <c r="G12" s="147">
        <v>0.05</v>
      </c>
      <c r="H12" s="484">
        <f t="shared" si="56"/>
        <v>0.01</v>
      </c>
      <c r="I12" s="484">
        <f t="shared" si="57"/>
        <v>5.0000000000000001E-3</v>
      </c>
      <c r="J12" s="148">
        <f t="shared" si="58"/>
        <v>0.21068232980428347</v>
      </c>
      <c r="K12" s="484">
        <f t="shared" si="59"/>
        <v>0</v>
      </c>
      <c r="L12" s="484">
        <f t="shared" si="60"/>
        <v>0</v>
      </c>
      <c r="M12" s="484">
        <f t="shared" si="61"/>
        <v>0</v>
      </c>
      <c r="N12" s="484">
        <f t="shared" si="62"/>
        <v>0</v>
      </c>
      <c r="O12" s="148">
        <f t="shared" si="63"/>
        <v>0</v>
      </c>
      <c r="P12" s="484">
        <f t="shared" si="64"/>
        <v>0</v>
      </c>
      <c r="Q12" s="484">
        <f t="shared" si="65"/>
        <v>0</v>
      </c>
      <c r="R12" s="484">
        <f t="shared" si="66"/>
        <v>0</v>
      </c>
      <c r="S12" s="484">
        <f t="shared" si="67"/>
        <v>0</v>
      </c>
      <c r="T12" s="126">
        <f t="shared" si="68"/>
        <v>0</v>
      </c>
      <c r="U12" s="293"/>
      <c r="V12" s="150">
        <f>SUM(IF((12*(IF(ISBLANK(E12),C12,E12)))+(IF(ISBLANK(D12),B12,D12)) &lt; 0, 0, (12*(IF(ISBLANK(E12),C12,E12)))+(IF(ISBLANK(D12),B12,D12))))*12</f>
        <v>0</v>
      </c>
      <c r="W12" s="148">
        <f>SUM(IF((15*(IF(ISBLANK(E12),C12,E12)))+(IF(ISBLANK(D12),B12,D12)) &lt; 0, 0, (15*(IF(ISBLANK(E12),C12,E12)))+(IF(ISBLANK(D12),B12,D12))))*12</f>
        <v>0</v>
      </c>
      <c r="X12" s="149">
        <f>SUM(IF((18*(IF(ISBLANK(E12),C12,E12)))+(IF(ISBLANK(D12),B12,D12)) &lt; 0, 0, (18*(IF(ISBLANK(E12),C12,E12)))+(IF(ISBLANK(D12),B12,D12))))*12</f>
        <v>0</v>
      </c>
      <c r="Y12" s="151"/>
      <c r="Z12" s="571">
        <v>0</v>
      </c>
      <c r="AA12" s="609"/>
      <c r="AB12" s="589">
        <f t="shared" si="0"/>
        <v>0</v>
      </c>
      <c r="AC12" s="484">
        <f t="shared" si="1"/>
        <v>0</v>
      </c>
      <c r="AD12" s="484">
        <f t="shared" si="2"/>
        <v>0</v>
      </c>
      <c r="AE12" s="484">
        <f t="shared" si="36"/>
        <v>0</v>
      </c>
      <c r="AF12" s="152"/>
      <c r="AG12" s="589">
        <f t="shared" si="3"/>
        <v>0.05</v>
      </c>
      <c r="AH12" s="484">
        <f t="shared" si="4"/>
        <v>0.05</v>
      </c>
      <c r="AI12" s="484">
        <f t="shared" si="5"/>
        <v>0.05</v>
      </c>
      <c r="AJ12" s="484">
        <f t="shared" si="37"/>
        <v>0.15000000000000002</v>
      </c>
      <c r="AK12" s="152"/>
      <c r="AL12" s="589">
        <f t="shared" si="6"/>
        <v>0.01</v>
      </c>
      <c r="AM12" s="484">
        <f t="shared" si="7"/>
        <v>0.01</v>
      </c>
      <c r="AN12" s="484">
        <f t="shared" si="8"/>
        <v>0.01</v>
      </c>
      <c r="AO12" s="484">
        <f t="shared" si="38"/>
        <v>0.03</v>
      </c>
      <c r="AP12" s="152"/>
      <c r="AQ12" s="589">
        <f t="shared" si="9"/>
        <v>5.0000000000000001E-3</v>
      </c>
      <c r="AR12" s="484">
        <f t="shared" si="10"/>
        <v>5.0000000000000001E-3</v>
      </c>
      <c r="AS12" s="484">
        <f t="shared" si="11"/>
        <v>5.0000000000000001E-3</v>
      </c>
      <c r="AT12" s="484">
        <f t="shared" si="39"/>
        <v>1.4999999999999999E-2</v>
      </c>
      <c r="AU12" s="152"/>
      <c r="AV12" s="609"/>
      <c r="AW12" s="589">
        <f t="shared" si="12"/>
        <v>0</v>
      </c>
      <c r="AX12" s="484">
        <f t="shared" si="13"/>
        <v>0</v>
      </c>
      <c r="AY12" s="484">
        <f t="shared" si="14"/>
        <v>0</v>
      </c>
      <c r="AZ12" s="484">
        <f t="shared" si="40"/>
        <v>0</v>
      </c>
      <c r="BA12" s="152"/>
      <c r="BB12" s="589">
        <f t="shared" si="15"/>
        <v>0</v>
      </c>
      <c r="BC12" s="484">
        <f t="shared" si="16"/>
        <v>0</v>
      </c>
      <c r="BD12" s="484">
        <f t="shared" si="17"/>
        <v>0</v>
      </c>
      <c r="BE12" s="484">
        <f t="shared" si="41"/>
        <v>0</v>
      </c>
      <c r="BF12" s="152"/>
      <c r="BG12" s="589">
        <f t="shared" si="18"/>
        <v>0</v>
      </c>
      <c r="BH12" s="484">
        <f t="shared" si="19"/>
        <v>0</v>
      </c>
      <c r="BI12" s="484">
        <f t="shared" si="20"/>
        <v>0</v>
      </c>
      <c r="BJ12" s="484">
        <f t="shared" si="42"/>
        <v>0</v>
      </c>
      <c r="BK12" s="152"/>
      <c r="BL12" s="589">
        <f t="shared" si="21"/>
        <v>0</v>
      </c>
      <c r="BM12" s="484">
        <f t="shared" si="22"/>
        <v>0</v>
      </c>
      <c r="BN12" s="484">
        <f t="shared" si="23"/>
        <v>0</v>
      </c>
      <c r="BO12" s="484">
        <f t="shared" si="51"/>
        <v>0</v>
      </c>
      <c r="BP12" s="152"/>
      <c r="BQ12" s="293"/>
      <c r="BR12" s="589">
        <f t="shared" si="24"/>
        <v>0</v>
      </c>
      <c r="BS12" s="484">
        <f t="shared" si="25"/>
        <v>0</v>
      </c>
      <c r="BT12" s="484">
        <f t="shared" si="26"/>
        <v>0</v>
      </c>
      <c r="BU12" s="484">
        <f t="shared" si="52"/>
        <v>0</v>
      </c>
      <c r="BV12" s="152"/>
      <c r="BW12" s="589">
        <f t="shared" si="27"/>
        <v>0</v>
      </c>
      <c r="BX12" s="484">
        <f t="shared" si="28"/>
        <v>0</v>
      </c>
      <c r="BY12" s="484">
        <f t="shared" si="29"/>
        <v>0</v>
      </c>
      <c r="BZ12" s="484">
        <f t="shared" si="53"/>
        <v>0</v>
      </c>
      <c r="CA12" s="152"/>
      <c r="CB12" s="589">
        <f t="shared" si="30"/>
        <v>0</v>
      </c>
      <c r="CC12" s="484">
        <f t="shared" si="31"/>
        <v>0</v>
      </c>
      <c r="CD12" s="484">
        <f t="shared" si="32"/>
        <v>0</v>
      </c>
      <c r="CE12" s="484">
        <f t="shared" si="54"/>
        <v>0</v>
      </c>
      <c r="CF12" s="152"/>
      <c r="CG12" s="589">
        <f t="shared" si="33"/>
        <v>0</v>
      </c>
      <c r="CH12" s="484">
        <f t="shared" si="34"/>
        <v>0</v>
      </c>
      <c r="CI12" s="484">
        <f t="shared" si="35"/>
        <v>0</v>
      </c>
      <c r="CJ12" s="484">
        <f t="shared" si="55"/>
        <v>0</v>
      </c>
      <c r="CK12" s="152"/>
      <c r="CL12" s="153"/>
      <c r="CM12" s="153"/>
      <c r="CN12" s="153"/>
      <c r="CO12" s="153"/>
      <c r="CP12" s="153"/>
      <c r="CQ12" s="153"/>
      <c r="CR12" s="153"/>
      <c r="CS12" s="153"/>
      <c r="CT12" s="153"/>
      <c r="CU12" s="153"/>
      <c r="CV12" s="153"/>
      <c r="CW12" s="153"/>
      <c r="CX12" s="153"/>
      <c r="CY12" s="153"/>
      <c r="CZ12" s="153"/>
      <c r="DA12" s="153"/>
      <c r="DB12" s="153"/>
      <c r="DC12" s="153"/>
      <c r="DD12" s="153"/>
      <c r="DE12" s="153"/>
      <c r="DF12" s="153"/>
      <c r="DG12" s="153"/>
      <c r="DH12" s="153"/>
      <c r="DI12" s="153"/>
      <c r="DJ12" s="153"/>
      <c r="DK12" s="153"/>
      <c r="DL12" s="153"/>
      <c r="DM12" s="153"/>
      <c r="DN12" s="153"/>
      <c r="DO12" s="153"/>
      <c r="DP12" s="153"/>
      <c r="DQ12" s="153"/>
      <c r="DR12" s="153"/>
      <c r="DS12" s="153"/>
      <c r="DT12" s="153"/>
      <c r="DU12" s="153"/>
      <c r="DV12" s="153"/>
      <c r="DW12" s="153"/>
      <c r="DX12" s="153"/>
      <c r="DY12" s="153"/>
      <c r="DZ12" s="153"/>
      <c r="EA12" s="153"/>
      <c r="EB12" s="153"/>
      <c r="EC12" s="153"/>
      <c r="ED12" s="153"/>
      <c r="EE12" s="153"/>
      <c r="EF12" s="153"/>
      <c r="EG12" s="153"/>
      <c r="EH12" s="153"/>
      <c r="EI12" s="153"/>
      <c r="EJ12" s="153"/>
      <c r="EK12" s="153"/>
      <c r="EL12" s="153"/>
      <c r="EM12" s="153"/>
      <c r="EN12" s="153"/>
      <c r="EO12" s="153"/>
      <c r="EP12" s="153"/>
      <c r="EQ12" s="153"/>
      <c r="ER12" s="153"/>
      <c r="ES12" s="153"/>
      <c r="ET12" s="153"/>
      <c r="EU12" s="153"/>
      <c r="EV12" s="153"/>
      <c r="EW12" s="153"/>
      <c r="EX12" s="153"/>
      <c r="EY12" s="153"/>
      <c r="EZ12" s="153"/>
      <c r="FA12" s="153"/>
      <c r="FB12" s="153"/>
      <c r="FC12" s="153"/>
      <c r="FD12" s="153"/>
      <c r="FE12" s="153"/>
      <c r="FF12" s="153"/>
      <c r="FG12" s="153"/>
      <c r="FH12" s="153"/>
      <c r="FI12" s="153"/>
      <c r="FJ12" s="153"/>
      <c r="FK12" s="153"/>
      <c r="FL12" s="153"/>
      <c r="FM12" s="153"/>
      <c r="FN12" s="153"/>
      <c r="FO12" s="153"/>
      <c r="FP12" s="153"/>
      <c r="FQ12" s="153"/>
      <c r="FR12" s="153"/>
      <c r="FS12" s="153"/>
      <c r="FT12" s="153"/>
      <c r="FU12" s="153"/>
      <c r="FV12" s="153"/>
      <c r="FW12" s="153"/>
    </row>
    <row r="13" spans="1:179" s="144" customFormat="1" ht="9.75" customHeight="1" thickBot="1" x14ac:dyDescent="0.2">
      <c r="A13" s="512" t="s">
        <v>139</v>
      </c>
      <c r="B13" s="294">
        <v>0</v>
      </c>
      <c r="C13" s="375">
        <v>0</v>
      </c>
      <c r="D13" s="627"/>
      <c r="E13" s="295"/>
      <c r="F13" s="156">
        <v>0</v>
      </c>
      <c r="G13" s="157">
        <v>0</v>
      </c>
      <c r="H13" s="485">
        <f t="shared" si="56"/>
        <v>0</v>
      </c>
      <c r="I13" s="485">
        <f t="shared" si="57"/>
        <v>0</v>
      </c>
      <c r="J13" s="158">
        <f t="shared" si="58"/>
        <v>0</v>
      </c>
      <c r="K13" s="485">
        <f t="shared" si="59"/>
        <v>0</v>
      </c>
      <c r="L13" s="485">
        <f t="shared" si="60"/>
        <v>0</v>
      </c>
      <c r="M13" s="485">
        <f t="shared" si="61"/>
        <v>0</v>
      </c>
      <c r="N13" s="485">
        <f t="shared" si="62"/>
        <v>0</v>
      </c>
      <c r="O13" s="158">
        <f t="shared" si="63"/>
        <v>0</v>
      </c>
      <c r="P13" s="485">
        <f t="shared" si="64"/>
        <v>0</v>
      </c>
      <c r="Q13" s="485">
        <f t="shared" si="65"/>
        <v>0</v>
      </c>
      <c r="R13" s="485">
        <f t="shared" si="66"/>
        <v>0</v>
      </c>
      <c r="S13" s="485">
        <f t="shared" si="67"/>
        <v>0</v>
      </c>
      <c r="T13" s="155">
        <f t="shared" si="68"/>
        <v>0</v>
      </c>
      <c r="U13" s="296"/>
      <c r="V13" s="160">
        <f>SUM(IF((12*(IF(ISBLANK(E13),C13,E13)))+(IF(ISBLANK(D13),B13,D13)) &lt; 0, 0, (12*(IF(ISBLANK(E13),C13,E13)))+(IF(ISBLANK(D13),B13,D13))))*12</f>
        <v>0</v>
      </c>
      <c r="W13" s="158">
        <f>SUM(IF((15*(IF(ISBLANK(E13),C13,E13)))+(IF(ISBLANK(D13),B13,D13)) &lt; 0, 0, (15*(IF(ISBLANK(E13),C13,E13)))+(IF(ISBLANK(D13),B13,D13))))*12</f>
        <v>0</v>
      </c>
      <c r="X13" s="159">
        <f>SUM(IF((18*(IF(ISBLANK(E13),C13,E13)))+(IF(ISBLANK(D13),B13,D13)) &lt; 0, 0, (18*(IF(ISBLANK(E13),C13,E13)))+(IF(ISBLANK(D13),B13,D13))))*12</f>
        <v>0</v>
      </c>
      <c r="Y13" s="161"/>
      <c r="Z13" s="572">
        <v>0</v>
      </c>
      <c r="AA13" s="610"/>
      <c r="AB13" s="590">
        <f t="shared" si="0"/>
        <v>0</v>
      </c>
      <c r="AC13" s="485">
        <f t="shared" si="1"/>
        <v>0</v>
      </c>
      <c r="AD13" s="485">
        <f t="shared" si="2"/>
        <v>0</v>
      </c>
      <c r="AE13" s="485">
        <f t="shared" si="36"/>
        <v>0</v>
      </c>
      <c r="AF13" s="162"/>
      <c r="AG13" s="590">
        <f t="shared" si="3"/>
        <v>0</v>
      </c>
      <c r="AH13" s="485">
        <f t="shared" si="4"/>
        <v>0</v>
      </c>
      <c r="AI13" s="485">
        <f t="shared" si="5"/>
        <v>0</v>
      </c>
      <c r="AJ13" s="485">
        <f t="shared" si="37"/>
        <v>0</v>
      </c>
      <c r="AK13" s="162"/>
      <c r="AL13" s="590">
        <f t="shared" si="6"/>
        <v>0</v>
      </c>
      <c r="AM13" s="485">
        <f t="shared" si="7"/>
        <v>0</v>
      </c>
      <c r="AN13" s="485">
        <f t="shared" si="8"/>
        <v>0</v>
      </c>
      <c r="AO13" s="485">
        <f t="shared" si="38"/>
        <v>0</v>
      </c>
      <c r="AP13" s="162"/>
      <c r="AQ13" s="590">
        <f t="shared" si="9"/>
        <v>0</v>
      </c>
      <c r="AR13" s="485">
        <f t="shared" si="10"/>
        <v>0</v>
      </c>
      <c r="AS13" s="485">
        <f t="shared" si="11"/>
        <v>0</v>
      </c>
      <c r="AT13" s="485">
        <f t="shared" si="39"/>
        <v>0</v>
      </c>
      <c r="AU13" s="162"/>
      <c r="AV13" s="610"/>
      <c r="AW13" s="590">
        <f t="shared" si="12"/>
        <v>0</v>
      </c>
      <c r="AX13" s="485">
        <f t="shared" si="13"/>
        <v>0</v>
      </c>
      <c r="AY13" s="485">
        <f t="shared" si="14"/>
        <v>0</v>
      </c>
      <c r="AZ13" s="485">
        <f t="shared" si="40"/>
        <v>0</v>
      </c>
      <c r="BA13" s="162"/>
      <c r="BB13" s="590">
        <f t="shared" si="15"/>
        <v>0</v>
      </c>
      <c r="BC13" s="485">
        <f t="shared" si="16"/>
        <v>0</v>
      </c>
      <c r="BD13" s="485">
        <f t="shared" si="17"/>
        <v>0</v>
      </c>
      <c r="BE13" s="485">
        <f t="shared" si="41"/>
        <v>0</v>
      </c>
      <c r="BF13" s="162"/>
      <c r="BG13" s="590">
        <f t="shared" si="18"/>
        <v>0</v>
      </c>
      <c r="BH13" s="485">
        <f t="shared" si="19"/>
        <v>0</v>
      </c>
      <c r="BI13" s="485">
        <f t="shared" si="20"/>
        <v>0</v>
      </c>
      <c r="BJ13" s="485">
        <f t="shared" si="42"/>
        <v>0</v>
      </c>
      <c r="BK13" s="162"/>
      <c r="BL13" s="590">
        <f t="shared" si="21"/>
        <v>0</v>
      </c>
      <c r="BM13" s="485">
        <f t="shared" si="22"/>
        <v>0</v>
      </c>
      <c r="BN13" s="485">
        <f t="shared" si="23"/>
        <v>0</v>
      </c>
      <c r="BO13" s="485">
        <f t="shared" si="51"/>
        <v>0</v>
      </c>
      <c r="BP13" s="162"/>
      <c r="BQ13" s="296"/>
      <c r="BR13" s="590">
        <f t="shared" si="24"/>
        <v>0</v>
      </c>
      <c r="BS13" s="485">
        <f t="shared" si="25"/>
        <v>0</v>
      </c>
      <c r="BT13" s="485">
        <f t="shared" si="26"/>
        <v>0</v>
      </c>
      <c r="BU13" s="485">
        <f t="shared" si="52"/>
        <v>0</v>
      </c>
      <c r="BV13" s="162"/>
      <c r="BW13" s="590">
        <f t="shared" si="27"/>
        <v>0</v>
      </c>
      <c r="BX13" s="485">
        <f t="shared" si="28"/>
        <v>0</v>
      </c>
      <c r="BY13" s="485">
        <f t="shared" si="29"/>
        <v>0</v>
      </c>
      <c r="BZ13" s="485">
        <f t="shared" si="53"/>
        <v>0</v>
      </c>
      <c r="CA13" s="162"/>
      <c r="CB13" s="590">
        <f t="shared" si="30"/>
        <v>0</v>
      </c>
      <c r="CC13" s="485">
        <f t="shared" si="31"/>
        <v>0</v>
      </c>
      <c r="CD13" s="485">
        <f t="shared" si="32"/>
        <v>0</v>
      </c>
      <c r="CE13" s="485">
        <f t="shared" si="54"/>
        <v>0</v>
      </c>
      <c r="CF13" s="162"/>
      <c r="CG13" s="590">
        <f t="shared" si="33"/>
        <v>0</v>
      </c>
      <c r="CH13" s="485">
        <f t="shared" si="34"/>
        <v>0</v>
      </c>
      <c r="CI13" s="485">
        <f t="shared" si="35"/>
        <v>0</v>
      </c>
      <c r="CJ13" s="485">
        <f t="shared" si="55"/>
        <v>0</v>
      </c>
      <c r="CK13" s="162"/>
      <c r="CL13" s="153"/>
      <c r="CM13" s="153"/>
      <c r="CN13" s="153"/>
      <c r="CO13" s="153"/>
      <c r="CP13" s="153"/>
      <c r="CQ13" s="153"/>
      <c r="CR13" s="153"/>
      <c r="CS13" s="153"/>
      <c r="CT13" s="153"/>
      <c r="CU13" s="153"/>
      <c r="CV13" s="153"/>
      <c r="CW13" s="153"/>
      <c r="CX13" s="153"/>
      <c r="CY13" s="153"/>
      <c r="CZ13" s="153"/>
      <c r="DA13" s="153"/>
      <c r="DB13" s="153"/>
      <c r="DC13" s="153"/>
      <c r="DD13" s="153"/>
      <c r="DE13" s="153"/>
      <c r="DF13" s="153"/>
      <c r="DG13" s="153"/>
      <c r="DH13" s="153"/>
      <c r="DI13" s="153"/>
      <c r="DJ13" s="153"/>
      <c r="DK13" s="153"/>
      <c r="DL13" s="153"/>
      <c r="DM13" s="153"/>
      <c r="DN13" s="153"/>
      <c r="DO13" s="153"/>
      <c r="DP13" s="153"/>
      <c r="DQ13" s="153"/>
      <c r="DR13" s="153"/>
      <c r="DS13" s="153"/>
      <c r="DT13" s="153"/>
      <c r="DU13" s="153"/>
      <c r="DV13" s="153"/>
      <c r="DW13" s="153"/>
      <c r="DX13" s="153"/>
      <c r="DY13" s="153"/>
      <c r="DZ13" s="153"/>
      <c r="EA13" s="153"/>
      <c r="EB13" s="153"/>
      <c r="EC13" s="153"/>
      <c r="ED13" s="153"/>
      <c r="EE13" s="153"/>
      <c r="EF13" s="153"/>
      <c r="EG13" s="153"/>
      <c r="EH13" s="153"/>
      <c r="EI13" s="153"/>
      <c r="EJ13" s="153"/>
      <c r="EK13" s="153"/>
      <c r="EL13" s="153"/>
      <c r="EM13" s="153"/>
      <c r="EN13" s="153"/>
      <c r="EO13" s="153"/>
      <c r="EP13" s="153"/>
      <c r="EQ13" s="153"/>
      <c r="ER13" s="153"/>
      <c r="ES13" s="153"/>
      <c r="ET13" s="153"/>
      <c r="EU13" s="153"/>
      <c r="EV13" s="153"/>
      <c r="EW13" s="153"/>
      <c r="EX13" s="153"/>
      <c r="EY13" s="153"/>
      <c r="EZ13" s="153"/>
      <c r="FA13" s="153"/>
      <c r="FB13" s="153"/>
      <c r="FC13" s="153"/>
      <c r="FD13" s="153"/>
      <c r="FE13" s="153"/>
      <c r="FF13" s="153"/>
      <c r="FG13" s="153"/>
      <c r="FH13" s="153"/>
      <c r="FI13" s="153"/>
      <c r="FJ13" s="153"/>
      <c r="FK13" s="153"/>
      <c r="FL13" s="153"/>
      <c r="FM13" s="153"/>
      <c r="FN13" s="153"/>
      <c r="FO13" s="153"/>
      <c r="FP13" s="153"/>
      <c r="FQ13" s="153"/>
      <c r="FR13" s="153"/>
      <c r="FS13" s="153"/>
      <c r="FT13" s="153"/>
      <c r="FU13" s="153"/>
      <c r="FV13" s="153"/>
      <c r="FW13" s="153"/>
    </row>
    <row r="14" spans="1:179" s="144" customFormat="1" ht="9.75" customHeight="1" x14ac:dyDescent="0.15">
      <c r="A14" s="471" t="s">
        <v>140</v>
      </c>
      <c r="B14" s="373">
        <v>100000</v>
      </c>
      <c r="C14" s="297">
        <v>1000000</v>
      </c>
      <c r="D14" s="165"/>
      <c r="E14" s="298"/>
      <c r="F14" s="498">
        <f>SUM(IF(((1-(Z18/(IF(ISBLANK(D14),B14,(IF(D14=0,9.99999999999999E+29,D14))))))*SUM(F9:F13))&lt;0,0,((1-(Z18/(IF(ISBLANK(D14),B14,(IF(D14=0,9.99999999999999E+29,D14))))))*SUM(F9:F13))))</f>
        <v>9.8499999999999994E-3</v>
      </c>
      <c r="G14" s="499">
        <f>SUM(IF(((1-(F18/(IF(ISBLANK(D14),B14,(IF(D14=0,9.99999999999999E+29,D14))))))*SUM(G9:G13))&lt;0,0,((1-(F18/(IF(ISBLANK(D14),B14,(IF(D14=0,9.99999999999999E+29,D14))))))*SUM(G9:G13))))</f>
        <v>0.11757496239702421</v>
      </c>
      <c r="H14" s="499">
        <f>SUM(IF(((1-(G18/(IF(ISBLANK(D14),B14,(IF(D14=0,9.99999999999999E+29,D14))))))*SUM(H9:H13))&lt;0,0,((1-(G18/(IF(ISBLANK(D14),B14,(IF(D14=0,9.99999999999999E+29,D14))))))*SUM(H9:H13))))</f>
        <v>8.5649549744655204E-2</v>
      </c>
      <c r="I14" s="499">
        <f>SUM(IF(((1-(H18/(IF(ISBLANK(D14),B14,(IF(D14=0,9.99999999999999E+29,D14))))))*SUM(I9:I13))&lt;0,0,((1-(H18/(IF(ISBLANK(D14),B14,(IF(D14=0,9.99999999999999E+29,D14))))))*SUM(I9:I13))))</f>
        <v>7.1382713501884562E-2</v>
      </c>
      <c r="J14" s="500">
        <f>SUM(((1+F14)*(1+F14)*(1+F14)*(1+G14)*(1+G14)*(1+G14)*(1+H14)*(1+H14)*(1+H14)*(1+I14)*(1+I14)*(1+I14))-1)</f>
        <v>1.2620566355682059</v>
      </c>
      <c r="K14" s="499">
        <f>SUM(IF(((1-(I18/(IF(ISBLANK(E14),C14,(IF(E14=0,9.99999999999999E+29,E14))))))*SUM(K9:K13))&lt;0,0,((1-(I18/(IF(ISBLANK(E14),C14,(IF(E14=0,9.99999999999999E+29,E14))))))*SUM(K9:K13))))</f>
        <v>6.5282875602962157E-2</v>
      </c>
      <c r="L14" s="499">
        <f>SUM(IF(((1-(K18/(IF(ISBLANK(E14),C14,(IF(E14=0,9.99999999999999E+29,E14))))))*SUM(L9:L13))&lt;0,0,((1-(K18/(IF(ISBLANK(E14),C14,(IF(E14=0,9.99999999999999E+29,E14))))))*SUM(L9:L13))))</f>
        <v>5.821132360377667E-2</v>
      </c>
      <c r="M14" s="499">
        <f>SUM(IF(((1-(L18/(IF(ISBLANK(E14),C14,(IF(E14=0,9.99999999999999E+29,E14))))))*SUM(M9:M13))&lt;0,0,((1-(L18/(IF(ISBLANK(E14),C14,(IF(E14=0,9.99999999999999E+29,E14))))))*SUM(M9:M13))))</f>
        <v>5.1192559531596071E-2</v>
      </c>
      <c r="N14" s="499">
        <f>SUM(IF(((1-(M18/(IF(ISBLANK(E14),C14,(IF(E14=0,9.99999999999999E+29,E14))))))*SUM(N9:N13))&lt;0,0,((1-(M18/(IF(ISBLANK(E14),C14,(IF(E14=0,9.99999999999999E+29,E14))))))*SUM(N9:N13))))</f>
        <v>4.4210628770165641E-2</v>
      </c>
      <c r="O14" s="501">
        <f t="shared" si="63"/>
        <v>0.89462478346566798</v>
      </c>
      <c r="P14" s="499">
        <f>SUM(IF(((1-(N18/(IF(ISBLANK(E14),C14,(IF(E14=0,9.99999999999999E+29,E14))))))*SUM(P9:P13))&lt;0,0,((1-(N18/(IF(ISBLANK(E14),C14,(IF(E14=0,9.99999999999999E+29,E14))))))*SUM(P9:P13))))</f>
        <v>4.1179977929033267E-2</v>
      </c>
      <c r="Q14" s="499">
        <f>SUM(IF(((1-(P18/(IF(ISBLANK(E14),C14,(IF(E14=0,9.99999999999999E+29,E14))))))*SUM(Q9:Q13))&lt;0,0,((1-(P18/(IF(ISBLANK(E14),C14,(IF(E14=0,9.99999999999999E+29,E14))))))*SUM(Q9:Q13))))</f>
        <v>3.8151678208155834E-2</v>
      </c>
      <c r="R14" s="499">
        <f>SUM(IF(((1-(Q18/(IF(ISBLANK(E14),C14,(IF(E14=0,9.99999999999999E+29,E14))))))*SUM(R9:R13))&lt;0,0,((1-(Q18/(IF(ISBLANK(E14),C14,(IF(E14=0,9.99999999999999E+29,E14))))))*SUM(R9:R13))))</f>
        <v>3.5127454496846747E-2</v>
      </c>
      <c r="S14" s="499">
        <f>SUM(IF(((1-(R18/(IF(ISBLANK(E14),C14,(IF(E14=0,9.99999999999999E+29,E14))))))*SUM(S9:S13))&lt;0,0,((1-(R18/(IF(ISBLANK(E14),C14,(IF(E14=0,9.99999999999999E+29,E14))))))*SUM(S9:S13))))</f>
        <v>3.2108891999149181E-2</v>
      </c>
      <c r="T14" s="503">
        <f t="shared" si="68"/>
        <v>0.53998998429474332</v>
      </c>
      <c r="U14" s="537"/>
      <c r="V14" s="640">
        <f>SUM(IF(((1-(T18/(IF(ISBLANK(E14),C14,(IF(E14=0,9.99999999999999E+29,E14))))))*SUM(V9:V13))&lt;0,0,((1-(T18/(IF(ISBLANK(E14),C14,(IF(E14=0,9.99999999999999E+29,E14))))))*SUM(V9:V13))))</f>
        <v>0.27933725445811847</v>
      </c>
      <c r="W14" s="500">
        <f>SUM(IF(((1-(V18/(IF(ISBLANK(E14),C14,(IF(E14=0,9.99999999999999E+29,E14))))))*SUM(W9:W13))&lt;0,0,((1-(V18/(IF(ISBLANK(E14),C14,(IF(E14=0,9.99999999999999E+29,E14))))))*SUM(W9:W13))))</f>
        <v>0.16351436784732573</v>
      </c>
      <c r="X14" s="641">
        <f>SUM(IF(((1-(W18/(IF(ISBLANK(E14),C14,(IF(E14=0,9.99999999999999E+29,E14))))))*SUM(X9:X13))&lt;0,0,((1-(W18/(IF(ISBLANK(E14),C14,(IF(E14=0,9.99999999999999E+29,E14))))))*SUM(X9:X13))))</f>
        <v>0.12267191703007432</v>
      </c>
      <c r="Y14" s="537"/>
      <c r="Z14" s="573">
        <v>0</v>
      </c>
      <c r="AA14" s="611"/>
      <c r="AB14" s="591">
        <f t="shared" si="0"/>
        <v>9.8499999999999994E-3</v>
      </c>
      <c r="AC14" s="499">
        <f t="shared" si="1"/>
        <v>9.8499999999999994E-3</v>
      </c>
      <c r="AD14" s="499">
        <f t="shared" si="2"/>
        <v>9.8499999999999994E-3</v>
      </c>
      <c r="AE14" s="499">
        <f t="shared" si="36"/>
        <v>2.955E-2</v>
      </c>
      <c r="AF14" s="597"/>
      <c r="AG14" s="591">
        <f t="shared" si="3"/>
        <v>0.11757496239702421</v>
      </c>
      <c r="AH14" s="499">
        <f t="shared" si="4"/>
        <v>0.11757496239702421</v>
      </c>
      <c r="AI14" s="499">
        <f t="shared" si="5"/>
        <v>0.11757496239702421</v>
      </c>
      <c r="AJ14" s="499">
        <f t="shared" si="37"/>
        <v>0.35272488719107264</v>
      </c>
      <c r="AK14" s="597"/>
      <c r="AL14" s="591">
        <f t="shared" si="6"/>
        <v>8.5649549744655204E-2</v>
      </c>
      <c r="AM14" s="499">
        <f t="shared" si="7"/>
        <v>8.5649549744655204E-2</v>
      </c>
      <c r="AN14" s="499">
        <f t="shared" si="8"/>
        <v>8.5649549744655204E-2</v>
      </c>
      <c r="AO14" s="499">
        <f t="shared" si="38"/>
        <v>0.2569486492339656</v>
      </c>
      <c r="AP14" s="597"/>
      <c r="AQ14" s="591">
        <f t="shared" si="9"/>
        <v>7.1382713501884562E-2</v>
      </c>
      <c r="AR14" s="499">
        <f t="shared" si="10"/>
        <v>7.1382713501884562E-2</v>
      </c>
      <c r="AS14" s="499">
        <f t="shared" si="11"/>
        <v>7.1382713501884562E-2</v>
      </c>
      <c r="AT14" s="499">
        <f t="shared" si="39"/>
        <v>0.21414814050565367</v>
      </c>
      <c r="AU14" s="597"/>
      <c r="AV14" s="611"/>
      <c r="AW14" s="591">
        <f t="shared" si="12"/>
        <v>6.5282875602962157E-2</v>
      </c>
      <c r="AX14" s="499">
        <f t="shared" si="13"/>
        <v>6.5282875602962157E-2</v>
      </c>
      <c r="AY14" s="499">
        <f t="shared" si="14"/>
        <v>6.5282875602962157E-2</v>
      </c>
      <c r="AZ14" s="499">
        <f t="shared" si="40"/>
        <v>0.19584862680888648</v>
      </c>
      <c r="BA14" s="597"/>
      <c r="BB14" s="591">
        <f t="shared" si="15"/>
        <v>5.821132360377667E-2</v>
      </c>
      <c r="BC14" s="499">
        <f t="shared" si="16"/>
        <v>5.821132360377667E-2</v>
      </c>
      <c r="BD14" s="499">
        <f t="shared" si="17"/>
        <v>5.821132360377667E-2</v>
      </c>
      <c r="BE14" s="499">
        <f t="shared" si="41"/>
        <v>0.17463397081133</v>
      </c>
      <c r="BF14" s="597"/>
      <c r="BG14" s="591">
        <f t="shared" si="18"/>
        <v>5.1192559531596071E-2</v>
      </c>
      <c r="BH14" s="499">
        <f t="shared" si="19"/>
        <v>5.1192559531596071E-2</v>
      </c>
      <c r="BI14" s="499">
        <f t="shared" si="20"/>
        <v>5.1192559531596071E-2</v>
      </c>
      <c r="BJ14" s="499">
        <f t="shared" si="42"/>
        <v>0.15357767859478821</v>
      </c>
      <c r="BK14" s="597"/>
      <c r="BL14" s="591">
        <f t="shared" si="21"/>
        <v>4.4210628770165641E-2</v>
      </c>
      <c r="BM14" s="499">
        <f t="shared" si="22"/>
        <v>4.4210628770165641E-2</v>
      </c>
      <c r="BN14" s="499">
        <f t="shared" si="23"/>
        <v>4.4210628770165641E-2</v>
      </c>
      <c r="BO14" s="499">
        <f t="shared" si="51"/>
        <v>0.13263188631049694</v>
      </c>
      <c r="BP14" s="597"/>
      <c r="BQ14" s="537"/>
      <c r="BR14" s="591">
        <f t="shared" si="24"/>
        <v>4.1179977929033267E-2</v>
      </c>
      <c r="BS14" s="499">
        <f t="shared" si="25"/>
        <v>4.1179977929033267E-2</v>
      </c>
      <c r="BT14" s="499">
        <f t="shared" si="26"/>
        <v>4.1179977929033267E-2</v>
      </c>
      <c r="BU14" s="499">
        <f t="shared" si="52"/>
        <v>0.12353993378709979</v>
      </c>
      <c r="BV14" s="597"/>
      <c r="BW14" s="591">
        <f t="shared" si="27"/>
        <v>3.8151678208155834E-2</v>
      </c>
      <c r="BX14" s="499">
        <f t="shared" si="28"/>
        <v>3.8151678208155834E-2</v>
      </c>
      <c r="BY14" s="499">
        <f t="shared" si="29"/>
        <v>3.8151678208155834E-2</v>
      </c>
      <c r="BZ14" s="499">
        <f t="shared" si="53"/>
        <v>0.1144550346244675</v>
      </c>
      <c r="CA14" s="597"/>
      <c r="CB14" s="591">
        <f t="shared" si="30"/>
        <v>3.5127454496846747E-2</v>
      </c>
      <c r="CC14" s="499">
        <f t="shared" si="31"/>
        <v>3.5127454496846747E-2</v>
      </c>
      <c r="CD14" s="499">
        <f t="shared" si="32"/>
        <v>3.5127454496846747E-2</v>
      </c>
      <c r="CE14" s="499">
        <f t="shared" si="54"/>
        <v>0.10538236349054024</v>
      </c>
      <c r="CF14" s="597"/>
      <c r="CG14" s="591">
        <f t="shared" si="33"/>
        <v>3.2108891999149181E-2</v>
      </c>
      <c r="CH14" s="499">
        <f t="shared" si="34"/>
        <v>3.2108891999149181E-2</v>
      </c>
      <c r="CI14" s="499">
        <f t="shared" si="35"/>
        <v>3.2108891999149181E-2</v>
      </c>
      <c r="CJ14" s="499">
        <f t="shared" si="55"/>
        <v>9.6326675997447542E-2</v>
      </c>
      <c r="CK14" s="166"/>
      <c r="CL14" s="153"/>
      <c r="CM14" s="153"/>
      <c r="CN14" s="153"/>
      <c r="CO14" s="153"/>
      <c r="CP14" s="153"/>
      <c r="CQ14" s="153"/>
      <c r="CR14" s="153"/>
      <c r="CS14" s="153"/>
      <c r="CT14" s="153"/>
      <c r="CU14" s="153"/>
      <c r="CV14" s="153"/>
      <c r="CW14" s="153"/>
      <c r="CX14" s="153"/>
      <c r="CY14" s="153"/>
      <c r="CZ14" s="153"/>
      <c r="DA14" s="153"/>
      <c r="DB14" s="153"/>
      <c r="DC14" s="153"/>
      <c r="DD14" s="153"/>
      <c r="DE14" s="153"/>
      <c r="DF14" s="153"/>
      <c r="DG14" s="153"/>
      <c r="DH14" s="153"/>
      <c r="DI14" s="153"/>
      <c r="DJ14" s="153"/>
      <c r="DK14" s="153"/>
      <c r="DL14" s="153"/>
      <c r="DM14" s="153"/>
      <c r="DN14" s="153"/>
      <c r="DO14" s="153"/>
      <c r="DP14" s="153"/>
      <c r="DQ14" s="153"/>
      <c r="DR14" s="153"/>
      <c r="DS14" s="153"/>
      <c r="DT14" s="153"/>
      <c r="DU14" s="153"/>
      <c r="DV14" s="153"/>
      <c r="DW14" s="153"/>
      <c r="DX14" s="153"/>
      <c r="DY14" s="153"/>
      <c r="DZ14" s="153"/>
      <c r="EA14" s="153"/>
      <c r="EB14" s="153"/>
      <c r="EC14" s="153"/>
      <c r="ED14" s="153"/>
      <c r="EE14" s="153"/>
      <c r="EF14" s="153"/>
      <c r="EG14" s="153"/>
      <c r="EH14" s="153"/>
      <c r="EI14" s="153"/>
      <c r="EJ14" s="153"/>
      <c r="EK14" s="153"/>
      <c r="EL14" s="153"/>
      <c r="EM14" s="153"/>
      <c r="EN14" s="153"/>
      <c r="EO14" s="153"/>
      <c r="EP14" s="153"/>
      <c r="EQ14" s="153"/>
      <c r="ER14" s="153"/>
      <c r="ES14" s="153"/>
      <c r="ET14" s="153"/>
      <c r="EU14" s="153"/>
      <c r="EV14" s="153"/>
      <c r="EW14" s="153"/>
      <c r="EX14" s="153"/>
      <c r="EY14" s="153"/>
      <c r="EZ14" s="153"/>
      <c r="FA14" s="153"/>
      <c r="FB14" s="153"/>
      <c r="FC14" s="153"/>
      <c r="FD14" s="153"/>
      <c r="FE14" s="153"/>
      <c r="FF14" s="153"/>
      <c r="FG14" s="153"/>
      <c r="FH14" s="153"/>
      <c r="FI14" s="153"/>
      <c r="FJ14" s="153"/>
      <c r="FK14" s="153"/>
      <c r="FL14" s="153"/>
      <c r="FM14" s="153"/>
      <c r="FN14" s="153"/>
      <c r="FO14" s="153"/>
      <c r="FP14" s="153"/>
      <c r="FQ14" s="153"/>
      <c r="FR14" s="153"/>
      <c r="FS14" s="153"/>
      <c r="FT14" s="153"/>
      <c r="FU14" s="153"/>
      <c r="FV14" s="153"/>
      <c r="FW14" s="153"/>
    </row>
    <row r="15" spans="1:179" s="144" customFormat="1" ht="9.75" customHeight="1" x14ac:dyDescent="0.15">
      <c r="A15" s="472" t="s">
        <v>141</v>
      </c>
      <c r="B15" s="167">
        <v>0.25</v>
      </c>
      <c r="C15" s="285">
        <v>-0.01</v>
      </c>
      <c r="D15" s="626"/>
      <c r="E15" s="624"/>
      <c r="F15" s="622">
        <v>0.8</v>
      </c>
      <c r="G15" s="623">
        <v>0.5</v>
      </c>
      <c r="H15" s="502">
        <f>SUM(IF(     IF(ISBLANK(D15),B15,D15)   &gt;   0,   (     IF(ISBLANK(D15),B15,D15)   ),0))</f>
        <v>0.25</v>
      </c>
      <c r="I15" s="502">
        <f>SUM(IF(     IF(ISBLANK(D15),B15,D15)     +   (1* (IF(ISBLANK(E15),C15,E15))) &gt;   0,   (     IF(ISBLANK(D15),B15,D15)    +  (1* (IF(ISBLANK(E15),C15,E15)) )  ),0))</f>
        <v>0.24</v>
      </c>
      <c r="J15" s="500">
        <f>SUM(((1+F15)*(1+F15)*(1+F15)*(1+G15)*(1+G15)*(1+G15)*(1+H15)*(1+H15)*(1+H15)*(1+I15)*(1+I15)*(1+I15))-1)</f>
        <v>72.297031625000017</v>
      </c>
      <c r="K15" s="502">
        <f>SUM(IF(     IF(ISBLANK(D15),B15,D15)    +   (2* (IF(ISBLANK(E15),C15,E15))) &gt;   0,   (     IF(ISBLANK(D15),B15,D15)    +  (2* (IF(ISBLANK(E15),C15,E15)) )  ),0))</f>
        <v>0.23</v>
      </c>
      <c r="L15" s="502">
        <f>SUM(IF(     IF(ISBLANK(D15),B15,D15)    +   (3* (IF(ISBLANK(E15),C15,E15))) &gt;   0,   (     IF(ISBLANK(D15),B15,D15)    +  (3* (IF(ISBLANK(E15),C15,E15)) )  ),0))</f>
        <v>0.22</v>
      </c>
      <c r="M15" s="502">
        <f>SUM(IF(     IF(ISBLANK(D15),B15,D15)     +   (4* (IF(ISBLANK(E15),C15,E15))) &gt;   0,   (     IF(ISBLANK(D15),B15,D15)   +  (4* (IF(ISBLANK(E15),C15,E15)) )  ),0))</f>
        <v>0.21</v>
      </c>
      <c r="N15" s="502">
        <f>SUM(IF(     IF(ISBLANK(D15),B15,D15)     +  (5* (IF(ISBLANK(E15),C15,E15))) &gt;   0,   (     IF(ISBLANK(D15),B15,D15)   +  (5* (IF(ISBLANK(E15),C15,E15)) )  ),0))</f>
        <v>0.2</v>
      </c>
      <c r="O15" s="500">
        <f t="shared" si="63"/>
        <v>9.3441468044006282</v>
      </c>
      <c r="P15" s="502">
        <f>SUM(IF(     IF(ISBLANK(D15),B15,D15)     +   (6* (IF(ISBLANK(E15),C15,E15))) &gt;   0,   (     IF(ISBLANK(D15),B15,D15)    +  (6* (IF(ISBLANK(E15),C15,E15)) )  ),0))</f>
        <v>0.19</v>
      </c>
      <c r="Q15" s="502">
        <f>SUM(IF(     IF(ISBLANK(D15),B15,D15)     +   (7* (IF(ISBLANK(E15),C15,E15))) &gt;   0,   (     IF(ISBLANK(D15),B15,D15)    +  (7* (IF(ISBLANK(E15),C15,E15)) )  ),0))</f>
        <v>0.18</v>
      </c>
      <c r="R15" s="502">
        <f>SUM(IF(     IF(ISBLANK(D15),B15,D15)     +   (8* (IF(ISBLANK(E15),C15,E15))) &gt;   0,   (     IF(ISBLANK(D15),B15,D15)    +  (8* (IF(ISBLANK(E15),C15,E15)) )  ),0))</f>
        <v>0.16999999999999998</v>
      </c>
      <c r="S15" s="502">
        <f>SUM(IF(     IF(ISBLANK(D15),B15,D15)     +   (9* (IF(ISBLANK(E15),C15,E15))) &gt;   0,   (     IF(ISBLANK(D15),B15,D15)   +  (9* (IF(ISBLANK(E15),C15,E15)) )  ),0))</f>
        <v>0.16</v>
      </c>
      <c r="T15" s="503">
        <f t="shared" si="68"/>
        <v>5.9217906360190113</v>
      </c>
      <c r="U15" s="538"/>
      <c r="V15" s="642">
        <v>0.2</v>
      </c>
      <c r="W15" s="506">
        <v>0.2</v>
      </c>
      <c r="X15" s="643">
        <v>0.2</v>
      </c>
      <c r="Y15" s="538"/>
      <c r="Z15" s="574">
        <v>0.7</v>
      </c>
      <c r="AA15" s="612"/>
      <c r="AB15" s="592">
        <f t="shared" si="0"/>
        <v>0.8</v>
      </c>
      <c r="AC15" s="502">
        <f t="shared" si="1"/>
        <v>0.8</v>
      </c>
      <c r="AD15" s="502">
        <f t="shared" si="2"/>
        <v>0.8</v>
      </c>
      <c r="AE15" s="502">
        <f t="shared" si="36"/>
        <v>2.4000000000000004</v>
      </c>
      <c r="AF15" s="598"/>
      <c r="AG15" s="592">
        <f t="shared" si="3"/>
        <v>0.5</v>
      </c>
      <c r="AH15" s="502">
        <f t="shared" si="4"/>
        <v>0.5</v>
      </c>
      <c r="AI15" s="502">
        <f t="shared" si="5"/>
        <v>0.5</v>
      </c>
      <c r="AJ15" s="502">
        <f t="shared" si="37"/>
        <v>1.5</v>
      </c>
      <c r="AK15" s="598"/>
      <c r="AL15" s="592">
        <f t="shared" si="6"/>
        <v>0.25</v>
      </c>
      <c r="AM15" s="502">
        <f t="shared" si="7"/>
        <v>0.25</v>
      </c>
      <c r="AN15" s="502">
        <f t="shared" si="8"/>
        <v>0.25</v>
      </c>
      <c r="AO15" s="502">
        <f t="shared" si="38"/>
        <v>0.75</v>
      </c>
      <c r="AP15" s="598"/>
      <c r="AQ15" s="592">
        <f t="shared" si="9"/>
        <v>0.24</v>
      </c>
      <c r="AR15" s="502">
        <f t="shared" si="10"/>
        <v>0.24</v>
      </c>
      <c r="AS15" s="502">
        <f t="shared" si="11"/>
        <v>0.24</v>
      </c>
      <c r="AT15" s="502">
        <f t="shared" si="39"/>
        <v>0.72</v>
      </c>
      <c r="AU15" s="598"/>
      <c r="AV15" s="612"/>
      <c r="AW15" s="592">
        <f t="shared" si="12"/>
        <v>0.23</v>
      </c>
      <c r="AX15" s="502">
        <f t="shared" si="13"/>
        <v>0.23</v>
      </c>
      <c r="AY15" s="502">
        <f t="shared" si="14"/>
        <v>0.23</v>
      </c>
      <c r="AZ15" s="502">
        <f t="shared" si="40"/>
        <v>0.69000000000000006</v>
      </c>
      <c r="BA15" s="598"/>
      <c r="BB15" s="592">
        <f t="shared" si="15"/>
        <v>0.22</v>
      </c>
      <c r="BC15" s="502">
        <f t="shared" si="16"/>
        <v>0.22</v>
      </c>
      <c r="BD15" s="502">
        <f t="shared" si="17"/>
        <v>0.22</v>
      </c>
      <c r="BE15" s="502">
        <f t="shared" si="41"/>
        <v>0.66</v>
      </c>
      <c r="BF15" s="598"/>
      <c r="BG15" s="592">
        <f t="shared" si="18"/>
        <v>0.21</v>
      </c>
      <c r="BH15" s="502">
        <f t="shared" si="19"/>
        <v>0.21</v>
      </c>
      <c r="BI15" s="502">
        <f t="shared" si="20"/>
        <v>0.21</v>
      </c>
      <c r="BJ15" s="502">
        <f t="shared" si="42"/>
        <v>0.63</v>
      </c>
      <c r="BK15" s="598"/>
      <c r="BL15" s="592">
        <f t="shared" si="21"/>
        <v>0.2</v>
      </c>
      <c r="BM15" s="502">
        <f t="shared" si="22"/>
        <v>0.2</v>
      </c>
      <c r="BN15" s="502">
        <f t="shared" si="23"/>
        <v>0.2</v>
      </c>
      <c r="BO15" s="502">
        <f t="shared" si="51"/>
        <v>0.60000000000000009</v>
      </c>
      <c r="BP15" s="598"/>
      <c r="BQ15" s="538"/>
      <c r="BR15" s="592">
        <f t="shared" si="24"/>
        <v>0.19</v>
      </c>
      <c r="BS15" s="502">
        <f t="shared" si="25"/>
        <v>0.19</v>
      </c>
      <c r="BT15" s="502">
        <f t="shared" si="26"/>
        <v>0.19</v>
      </c>
      <c r="BU15" s="502">
        <f t="shared" si="52"/>
        <v>0.57000000000000006</v>
      </c>
      <c r="BV15" s="598"/>
      <c r="BW15" s="592">
        <f t="shared" si="27"/>
        <v>0.18</v>
      </c>
      <c r="BX15" s="502">
        <f t="shared" si="28"/>
        <v>0.18</v>
      </c>
      <c r="BY15" s="502">
        <f t="shared" si="29"/>
        <v>0.18</v>
      </c>
      <c r="BZ15" s="502">
        <f t="shared" si="53"/>
        <v>0.54</v>
      </c>
      <c r="CA15" s="598"/>
      <c r="CB15" s="592">
        <f t="shared" si="30"/>
        <v>0.16999999999999998</v>
      </c>
      <c r="CC15" s="502">
        <f t="shared" si="31"/>
        <v>0.16999999999999998</v>
      </c>
      <c r="CD15" s="502">
        <f t="shared" si="32"/>
        <v>0.16999999999999998</v>
      </c>
      <c r="CE15" s="502">
        <f t="shared" si="54"/>
        <v>0.51</v>
      </c>
      <c r="CF15" s="598"/>
      <c r="CG15" s="592">
        <f t="shared" si="33"/>
        <v>0.16</v>
      </c>
      <c r="CH15" s="502">
        <f t="shared" si="34"/>
        <v>0.16</v>
      </c>
      <c r="CI15" s="502">
        <f t="shared" si="35"/>
        <v>0.16</v>
      </c>
      <c r="CJ15" s="502">
        <f t="shared" si="55"/>
        <v>0.48</v>
      </c>
      <c r="CK15" s="168"/>
      <c r="CL15" s="153"/>
      <c r="CM15" s="153"/>
      <c r="CN15" s="153"/>
      <c r="CO15" s="153"/>
      <c r="CP15" s="153"/>
      <c r="CQ15" s="153"/>
      <c r="CR15" s="153"/>
      <c r="CS15" s="153"/>
      <c r="CT15" s="153"/>
      <c r="CU15" s="153"/>
      <c r="CV15" s="153"/>
      <c r="CW15" s="153"/>
      <c r="CX15" s="153"/>
      <c r="CY15" s="153"/>
      <c r="CZ15" s="153"/>
      <c r="DA15" s="153"/>
      <c r="DB15" s="153"/>
      <c r="DC15" s="153"/>
      <c r="DD15" s="153"/>
      <c r="DE15" s="153"/>
      <c r="DF15" s="153"/>
      <c r="DG15" s="153"/>
      <c r="DH15" s="153"/>
      <c r="DI15" s="153"/>
      <c r="DJ15" s="153"/>
      <c r="DK15" s="153"/>
      <c r="DL15" s="153"/>
      <c r="DM15" s="153"/>
      <c r="DN15" s="153"/>
      <c r="DO15" s="153"/>
      <c r="DP15" s="153"/>
      <c r="DQ15" s="153"/>
      <c r="DR15" s="153"/>
      <c r="DS15" s="153"/>
      <c r="DT15" s="153"/>
      <c r="DU15" s="153"/>
      <c r="DV15" s="153"/>
      <c r="DW15" s="153"/>
      <c r="DX15" s="153"/>
      <c r="DY15" s="153"/>
      <c r="DZ15" s="153"/>
      <c r="EA15" s="153"/>
      <c r="EB15" s="153"/>
      <c r="EC15" s="153"/>
      <c r="ED15" s="153"/>
      <c r="EE15" s="153"/>
      <c r="EF15" s="153"/>
      <c r="EG15" s="153"/>
      <c r="EH15" s="153"/>
      <c r="EI15" s="153"/>
      <c r="EJ15" s="153"/>
      <c r="EK15" s="153"/>
      <c r="EL15" s="153"/>
      <c r="EM15" s="153"/>
      <c r="EN15" s="153"/>
      <c r="EO15" s="153"/>
      <c r="EP15" s="153"/>
      <c r="EQ15" s="153"/>
      <c r="ER15" s="153"/>
      <c r="ES15" s="153"/>
      <c r="ET15" s="153"/>
      <c r="EU15" s="153"/>
      <c r="EV15" s="153"/>
      <c r="EW15" s="153"/>
      <c r="EX15" s="153"/>
      <c r="EY15" s="153"/>
      <c r="EZ15" s="153"/>
      <c r="FA15" s="153"/>
      <c r="FB15" s="153"/>
      <c r="FC15" s="153"/>
      <c r="FD15" s="153"/>
      <c r="FE15" s="153"/>
      <c r="FF15" s="153"/>
      <c r="FG15" s="153"/>
      <c r="FH15" s="153"/>
      <c r="FI15" s="153"/>
      <c r="FJ15" s="153"/>
      <c r="FK15" s="153"/>
      <c r="FL15" s="153"/>
      <c r="FM15" s="153"/>
      <c r="FN15" s="153"/>
      <c r="FO15" s="153"/>
      <c r="FP15" s="153"/>
      <c r="FQ15" s="153"/>
      <c r="FR15" s="153"/>
      <c r="FS15" s="153"/>
      <c r="FT15" s="153"/>
      <c r="FU15" s="153"/>
      <c r="FV15" s="153"/>
      <c r="FW15" s="153"/>
    </row>
    <row r="16" spans="1:179" s="175" customFormat="1" ht="9.75" customHeight="1" x14ac:dyDescent="0.15">
      <c r="A16" s="473" t="s">
        <v>142</v>
      </c>
      <c r="B16" s="169"/>
      <c r="C16" s="170"/>
      <c r="D16" s="628"/>
      <c r="E16" s="629"/>
      <c r="F16" s="504">
        <f>SUM((F18/Z18)-1)/3</f>
        <v>0.11574770425477772</v>
      </c>
      <c r="G16" s="504">
        <f>SUM((G18/F18)-1)/3</f>
        <v>0.46398768323450773</v>
      </c>
      <c r="H16" s="504">
        <f>SUM((H18/G18)-1)/3</f>
        <v>0.25168891544563904</v>
      </c>
      <c r="I16" s="504">
        <f>SUM((I18/H18)-1)/3</f>
        <v>9.3584181011395609E-2</v>
      </c>
      <c r="J16" s="505" t="s">
        <v>38</v>
      </c>
      <c r="K16" s="502">
        <f>SUM((K18/I18)-1)/3</f>
        <v>7.6752734342263526E-2</v>
      </c>
      <c r="L16" s="502">
        <f>SUM((L18/K18)-1)/3</f>
        <v>5.3869995348817902E-2</v>
      </c>
      <c r="M16" s="502">
        <f>SUM((M18/L18)-1)/3</f>
        <v>4.3232017601614325E-2</v>
      </c>
      <c r="N16" s="502">
        <f>SUM((N18/M18)-1)/3</f>
        <v>3.7677180194902959E-2</v>
      </c>
      <c r="O16" s="506">
        <f>SUM(O18/J18)-1</f>
        <v>0.79690736620017488</v>
      </c>
      <c r="P16" s="502">
        <f>SUM((P18/N18)-1)/3</f>
        <v>3.8029563121676047E-2</v>
      </c>
      <c r="Q16" s="502">
        <f>SUM((Q18/P18)-1)/3</f>
        <v>3.8089255556797465E-2</v>
      </c>
      <c r="R16" s="502">
        <f>SUM((R18/Q18)-1)/3</f>
        <v>3.8039015576412462E-2</v>
      </c>
      <c r="S16" s="502">
        <f>SUM((S18/R18)-1)/3</f>
        <v>3.7967062376099404E-2</v>
      </c>
      <c r="T16" s="507">
        <f>SUM(T18/O18)-1</f>
        <v>0.54058909256151044</v>
      </c>
      <c r="U16" s="538"/>
      <c r="V16" s="642">
        <f>SUM(V18/T18)-1</f>
        <v>2.0448789378326886</v>
      </c>
      <c r="W16" s="506">
        <f>SUM(W18/V18)-1</f>
        <v>0.61717206022229099</v>
      </c>
      <c r="X16" s="643">
        <f>SUM(X18/W18)-1</f>
        <v>0.31815063219795636</v>
      </c>
      <c r="Y16" s="173"/>
      <c r="Z16" s="574">
        <v>0</v>
      </c>
      <c r="AA16" s="613"/>
      <c r="AB16" s="592">
        <f>SUM((AB18/Z18)-1)</f>
        <v>0.27693333333333348</v>
      </c>
      <c r="AC16" s="502">
        <f t="shared" ref="AC16:AD16" si="69">SUM((AC18/AB18)-1)</f>
        <v>4.5510958546517655E-2</v>
      </c>
      <c r="AD16" s="502">
        <f t="shared" si="69"/>
        <v>9.13474370872569E-3</v>
      </c>
      <c r="AE16" s="502">
        <f t="shared" si="36"/>
        <v>0.33157903558857682</v>
      </c>
      <c r="AF16" s="599"/>
      <c r="AG16" s="592">
        <f>SUM((AG18/AD18)-1)</f>
        <v>0.69633881749090087</v>
      </c>
      <c r="AH16" s="502">
        <f>SUM((AH18/AG18)-1)</f>
        <v>0.25351151231899371</v>
      </c>
      <c r="AI16" s="502">
        <f>SUM((AI18/AH18)-1)</f>
        <v>0.12489902258494223</v>
      </c>
      <c r="AJ16" s="502">
        <f t="shared" si="37"/>
        <v>1.0747493523948368</v>
      </c>
      <c r="AK16" s="599"/>
      <c r="AL16" s="592">
        <f>SUM((AL18/AI18)-1)</f>
        <v>0.29797898540251766</v>
      </c>
      <c r="AM16" s="502">
        <f>SUM((AM18/AL18)-1)</f>
        <v>0.1918413223830151</v>
      </c>
      <c r="AN16" s="502">
        <f>SUM((AN18/AM18)-1)</f>
        <v>0.13450793462274935</v>
      </c>
      <c r="AO16" s="502">
        <f t="shared" si="38"/>
        <v>0.62432824240828211</v>
      </c>
      <c r="AP16" s="599"/>
      <c r="AQ16" s="592">
        <f>SUM((AQ18/AN18)-1)</f>
        <v>0.11129579670252521</v>
      </c>
      <c r="AR16" s="502">
        <f>SUM((AR18/AQ18)-1)</f>
        <v>8.3262621651639446E-2</v>
      </c>
      <c r="AS16" s="502">
        <f>SUM((AS18/AR18)-1)</f>
        <v>6.3902421202789217E-2</v>
      </c>
      <c r="AT16" s="502">
        <f t="shared" si="39"/>
        <v>0.25846083955695387</v>
      </c>
      <c r="AU16" s="599"/>
      <c r="AV16" s="613"/>
      <c r="AW16" s="592">
        <f>SUM((AW18/AS18)-1)</f>
        <v>9.090406181421895E-2</v>
      </c>
      <c r="AX16" s="502">
        <f>SUM((AX18/AW18)-1)</f>
        <v>6.9603376514974391E-2</v>
      </c>
      <c r="AY16" s="502">
        <f>SUM((AY18/AX18)-1)</f>
        <v>5.43552028383949E-2</v>
      </c>
      <c r="AZ16" s="502">
        <f t="shared" si="40"/>
        <v>0.21486264116758824</v>
      </c>
      <c r="BA16" s="599"/>
      <c r="BB16" s="592">
        <f>SUM((BB18/AY18)-1)</f>
        <v>6.3605706402258155E-2</v>
      </c>
      <c r="BC16" s="502">
        <f>SUM((BC18/BB18)-1)</f>
        <v>5.0126680433610016E-2</v>
      </c>
      <c r="BD16" s="502">
        <f>SUM((BD18/BC18)-1)</f>
        <v>4.0011126216477733E-2</v>
      </c>
      <c r="BE16" s="502">
        <f t="shared" si="41"/>
        <v>0.1537435130523459</v>
      </c>
      <c r="BF16" s="599"/>
      <c r="BG16" s="592">
        <f>SUM((BG18/BD18)-1)</f>
        <v>5.0885193403500395E-2</v>
      </c>
      <c r="BH16" s="502">
        <f>SUM((BH18/BG18)-1)</f>
        <v>4.0731610217783043E-2</v>
      </c>
      <c r="BI16" s="502">
        <f>SUM((BI18/BH18)-1)</f>
        <v>3.292215506529117E-2</v>
      </c>
      <c r="BJ16" s="502">
        <f t="shared" si="42"/>
        <v>0.12453895868657461</v>
      </c>
      <c r="BK16" s="599"/>
      <c r="BL16" s="592">
        <f>SUM((BL18/BI18)-1)</f>
        <v>4.4206438534791559E-2</v>
      </c>
      <c r="BM16" s="502">
        <f>SUM((BM18/BL18)-1)</f>
        <v>3.573962378886697E-2</v>
      </c>
      <c r="BN16" s="502">
        <f>SUM((BN18/BM18)-1)</f>
        <v>2.9130651737003577E-2</v>
      </c>
      <c r="BO16" s="502">
        <f>SUM(BL16:BN16)</f>
        <v>0.10907671406066211</v>
      </c>
      <c r="BP16" s="599"/>
      <c r="BQ16" s="173"/>
      <c r="BR16" s="592">
        <f>SUM((BR18/BN18)-1)</f>
        <v>4.4294463817135421E-2</v>
      </c>
      <c r="BS16" s="502">
        <f>SUM((BS18/BR18)-1)</f>
        <v>3.6103380838040877E-2</v>
      </c>
      <c r="BT16" s="502">
        <f>SUM((BT18/BS18)-1)</f>
        <v>2.9659660872866755E-2</v>
      </c>
      <c r="BU16" s="502">
        <f>SUM(BR16:BT16)</f>
        <v>0.11005750552804305</v>
      </c>
      <c r="BV16" s="599"/>
      <c r="BW16" s="592">
        <f>SUM((BW18/BT18)-1)</f>
        <v>4.4041017687015849E-2</v>
      </c>
      <c r="BX16" s="502">
        <f>SUM((BX18/BW18)-1)</f>
        <v>3.6199605760544706E-2</v>
      </c>
      <c r="BY16" s="502">
        <f>SUM((BY18/BX18)-1)</f>
        <v>2.9979506131045497E-2</v>
      </c>
      <c r="BZ16" s="502">
        <f>SUM(BW16:BY16)</f>
        <v>0.11022012957860605</v>
      </c>
      <c r="CA16" s="599"/>
      <c r="CB16" s="592">
        <f>SUM((CB18/BY18)-1)</f>
        <v>4.3663233500348175E-2</v>
      </c>
      <c r="CC16" s="502">
        <f>SUM((CC18/CB18)-1)</f>
        <v>3.6193918536888914E-2</v>
      </c>
      <c r="CD16" s="502">
        <f>SUM((CD18/CC18)-1)</f>
        <v>3.0218622259719607E-2</v>
      </c>
      <c r="CE16" s="502">
        <f t="shared" si="54"/>
        <v>0.1100757742969567</v>
      </c>
      <c r="CF16" s="599"/>
      <c r="CG16" s="592">
        <f>SUM((CG18/CD18)-1)</f>
        <v>4.3264303102000357E-2</v>
      </c>
      <c r="CH16" s="502">
        <f>SUM((CH18/CG18)-1)</f>
        <v>3.6166466473752212E-2</v>
      </c>
      <c r="CI16" s="502">
        <f>SUM((CI18/CH18)-1)</f>
        <v>3.0440183140927113E-2</v>
      </c>
      <c r="CJ16" s="502">
        <f t="shared" si="55"/>
        <v>0.10987095271667968</v>
      </c>
      <c r="CK16" s="152"/>
      <c r="CL16" s="174"/>
      <c r="CM16" s="174"/>
      <c r="CN16" s="174"/>
      <c r="CO16" s="174"/>
      <c r="CP16" s="174"/>
      <c r="CQ16" s="174"/>
      <c r="CR16" s="174"/>
      <c r="CS16" s="174"/>
      <c r="CT16" s="174"/>
      <c r="CU16" s="174"/>
      <c r="CV16" s="174"/>
      <c r="CW16" s="174"/>
      <c r="CX16" s="174"/>
      <c r="CY16" s="174"/>
      <c r="CZ16" s="174"/>
      <c r="DA16" s="174"/>
      <c r="DB16" s="174"/>
      <c r="DC16" s="174"/>
      <c r="DD16" s="174"/>
      <c r="DE16" s="174"/>
      <c r="DF16" s="174"/>
      <c r="DG16" s="174"/>
      <c r="DH16" s="174"/>
      <c r="DI16" s="174"/>
      <c r="DJ16" s="174"/>
      <c r="DK16" s="174"/>
      <c r="DL16" s="174"/>
      <c r="DM16" s="174"/>
      <c r="DN16" s="174"/>
      <c r="DO16" s="174"/>
      <c r="DP16" s="174"/>
      <c r="DQ16" s="174"/>
      <c r="DR16" s="174"/>
      <c r="DS16" s="174"/>
      <c r="DT16" s="174"/>
      <c r="DU16" s="174"/>
      <c r="DV16" s="174"/>
      <c r="DW16" s="174"/>
      <c r="DX16" s="174"/>
      <c r="DY16" s="174"/>
      <c r="DZ16" s="174"/>
      <c r="EA16" s="174"/>
      <c r="EB16" s="174"/>
      <c r="EC16" s="174"/>
      <c r="ED16" s="174"/>
      <c r="EE16" s="174"/>
      <c r="EF16" s="174"/>
      <c r="EG16" s="174"/>
      <c r="EH16" s="174"/>
      <c r="EI16" s="174"/>
      <c r="EJ16" s="174"/>
      <c r="EK16" s="174"/>
      <c r="EL16" s="174"/>
      <c r="EM16" s="174"/>
      <c r="EN16" s="174"/>
      <c r="EO16" s="174"/>
      <c r="EP16" s="174"/>
      <c r="EQ16" s="174"/>
      <c r="ER16" s="174"/>
      <c r="ES16" s="174"/>
      <c r="ET16" s="174"/>
      <c r="EU16" s="174"/>
      <c r="EV16" s="174"/>
      <c r="EW16" s="174"/>
      <c r="EX16" s="174"/>
      <c r="EY16" s="174"/>
      <c r="EZ16" s="174"/>
      <c r="FA16" s="174"/>
      <c r="FB16" s="174"/>
      <c r="FC16" s="174"/>
      <c r="FD16" s="174"/>
      <c r="FE16" s="174"/>
      <c r="FF16" s="174"/>
      <c r="FG16" s="174"/>
      <c r="FH16" s="174"/>
      <c r="FI16" s="174"/>
      <c r="FJ16" s="174"/>
      <c r="FK16" s="174"/>
      <c r="FL16" s="174"/>
      <c r="FM16" s="174"/>
      <c r="FN16" s="174"/>
      <c r="FO16" s="174"/>
      <c r="FP16" s="174"/>
      <c r="FQ16" s="174"/>
      <c r="FR16" s="174"/>
      <c r="FS16" s="174"/>
      <c r="FT16" s="174"/>
      <c r="FU16" s="174"/>
      <c r="FV16" s="174"/>
      <c r="FW16" s="174"/>
    </row>
    <row r="17" spans="1:179" s="175" customFormat="1" ht="9.75" customHeight="1" x14ac:dyDescent="0.15">
      <c r="A17" s="405" t="s">
        <v>143</v>
      </c>
      <c r="B17" s="176"/>
      <c r="C17" s="177"/>
      <c r="D17" s="634"/>
      <c r="E17" s="635"/>
      <c r="F17" s="423">
        <f>AE17</f>
        <v>520.86466914649986</v>
      </c>
      <c r="G17" s="424">
        <f>AJ17</f>
        <v>2812.9689479032631</v>
      </c>
      <c r="H17" s="424">
        <f>AO17</f>
        <v>3649.8670215597767</v>
      </c>
      <c r="I17" s="424">
        <f>AT17</f>
        <v>2381.8205286303846</v>
      </c>
      <c r="J17" s="180">
        <f>SUM(J18-Z18)</f>
        <v>9365.5211672399237</v>
      </c>
      <c r="K17" s="424">
        <f>AZ17</f>
        <v>2501.8753789182201</v>
      </c>
      <c r="L17" s="424">
        <f>BE17</f>
        <v>2160.3047693020312</v>
      </c>
      <c r="M17" s="424">
        <f>BJ17</f>
        <v>2013.8815697477507</v>
      </c>
      <c r="N17" s="424">
        <f>BO17</f>
        <v>1982.7521378094089</v>
      </c>
      <c r="O17" s="180">
        <f>SUM(O18-J18)</f>
        <v>8658.8138557774182</v>
      </c>
      <c r="P17" s="424">
        <f>BU17</f>
        <v>2227.5057934997599</v>
      </c>
      <c r="Q17" s="424">
        <f>BZ17</f>
        <v>2485.5342710732939</v>
      </c>
      <c r="R17" s="424">
        <f>CE17</f>
        <v>2765.8976654646085</v>
      </c>
      <c r="S17" s="424">
        <f>CJ17</f>
        <v>3075.7048229221937</v>
      </c>
      <c r="T17" s="181">
        <f>SUM(T18-O18)</f>
        <v>10554.64255295986</v>
      </c>
      <c r="U17" s="184"/>
      <c r="V17" s="182">
        <f>SUM((V8+(T18*V14))-(T18*V15))</f>
        <v>61507.867716657522</v>
      </c>
      <c r="W17" s="180">
        <f>SUM((W8+(V18*W14))-(V18*W15))</f>
        <v>56524.841998515607</v>
      </c>
      <c r="X17" s="183">
        <f>SUM((X8+(W18*X14))-(W18*X15))</f>
        <v>47121.826947585512</v>
      </c>
      <c r="Y17" s="184"/>
      <c r="Z17" s="575">
        <v>1500</v>
      </c>
      <c r="AA17" s="614"/>
      <c r="AB17" s="533">
        <f>SUM((AB8+(Z18*AB14))-(Z18*AB15))</f>
        <v>415.40000000000009</v>
      </c>
      <c r="AC17" s="424">
        <f>SUM((AC8+(AB18*AC14))-(AB18*AC15))</f>
        <v>87.171689999999899</v>
      </c>
      <c r="AD17" s="424">
        <f>SUM((AD8+(AC18*AD14))-(AC18*AD15))</f>
        <v>18.292979146499874</v>
      </c>
      <c r="AE17" s="180">
        <f t="shared" si="36"/>
        <v>520.86466914649986</v>
      </c>
      <c r="AF17" s="183"/>
      <c r="AG17" s="533">
        <f>SUM((AG8+(AD18*AG14))-(AD18*AG15))</f>
        <v>1407.2065140226146</v>
      </c>
      <c r="AH17" s="424">
        <f>SUM((AH8+(AG18*AH14))-(AG18*AH15))</f>
        <v>869.05550998236367</v>
      </c>
      <c r="AI17" s="424">
        <f>SUM((AI8+(AH18*AI14))-(AH18*AI15))</f>
        <v>536.70692389828491</v>
      </c>
      <c r="AJ17" s="180">
        <f t="shared" si="37"/>
        <v>2812.9689479032631</v>
      </c>
      <c r="AK17" s="183"/>
      <c r="AL17" s="533">
        <f>SUM((AL8+(AI18*AL14))-(AI18*AL15))</f>
        <v>1440.3808368130706</v>
      </c>
      <c r="AM17" s="424">
        <f>SUM((AM8+(AL18*AM14))-(AL18*AM15))</f>
        <v>1203.6535977436722</v>
      </c>
      <c r="AN17" s="424">
        <f>SUM((AN8+(AM18*AN14))-(AM18*AN15))</f>
        <v>1005.8325870030342</v>
      </c>
      <c r="AO17" s="180">
        <f t="shared" si="38"/>
        <v>3649.8670215597767</v>
      </c>
      <c r="AP17" s="183"/>
      <c r="AQ17" s="533">
        <f>SUM((AQ8+(AN18*AQ14))-(AN18*AQ15))</f>
        <v>944.20022155977153</v>
      </c>
      <c r="AR17" s="424">
        <f>SUM((AR8+(AQ18*AR14))-(AQ18*AR15))</f>
        <v>784.99174228944366</v>
      </c>
      <c r="AS17" s="424">
        <f>SUM((AS8+(AR18*AS14))-(AR18*AS15))</f>
        <v>652.62856478116964</v>
      </c>
      <c r="AT17" s="180">
        <f t="shared" si="39"/>
        <v>2381.8205286303846</v>
      </c>
      <c r="AU17" s="183"/>
      <c r="AV17" s="614"/>
      <c r="AW17" s="533">
        <f>SUM((AW8+(AS18*AW14))-(AS18*AW15))</f>
        <v>987.72000783048043</v>
      </c>
      <c r="AX17" s="424">
        <f>SUM((AX8+(AW18*AX14))-(AW18*AX15))</f>
        <v>825.02560843122365</v>
      </c>
      <c r="AY17" s="424">
        <f>SUM((AY8+(AX18*AY14))-(AX18*AY15))</f>
        <v>689.12976265651605</v>
      </c>
      <c r="AZ17" s="180">
        <f t="shared" si="40"/>
        <v>2501.8753789182201</v>
      </c>
      <c r="BA17" s="183"/>
      <c r="BB17" s="533">
        <f>SUM((BB8+(AY18*BB14))-(AY18*BB15))</f>
        <v>850.2427000774951</v>
      </c>
      <c r="BC17" s="424">
        <f>SUM((BC8+(BB18*BC14))-(BB18*BC15))</f>
        <v>712.68305901640588</v>
      </c>
      <c r="BD17" s="424">
        <f>SUM((BD8+(BC18*BD14))-(BC18*BD15))</f>
        <v>597.37901020813024</v>
      </c>
      <c r="BE17" s="180">
        <f t="shared" si="41"/>
        <v>2160.3047693020312</v>
      </c>
      <c r="BF17" s="183"/>
      <c r="BG17" s="533">
        <f>SUM((BG8+(BD18*BG14))-(BD18*BG15))</f>
        <v>790.13008454897818</v>
      </c>
      <c r="BH17" s="424">
        <f>SUM((BH8+(BG18*BH14))-(BG18*BH15))</f>
        <v>664.65154818467136</v>
      </c>
      <c r="BI17" s="424">
        <f>SUM((BI8+(BH18*BI14))-(BH18*BI15))</f>
        <v>559.09993701410122</v>
      </c>
      <c r="BJ17" s="180">
        <f t="shared" si="42"/>
        <v>2013.8815697477507</v>
      </c>
      <c r="BK17" s="183"/>
      <c r="BL17" s="533">
        <f>SUM((BL8+(BI18*BL14))-(BI18*BL15))</f>
        <v>775.4509056178963</v>
      </c>
      <c r="BM17" s="424">
        <f>SUM((BM8+(BL18*BM14))-(BL18*BM15))</f>
        <v>654.64389661207861</v>
      </c>
      <c r="BN17" s="424">
        <f>SUM((BN8+(BM18*BN14))-(BM18*BN15))</f>
        <v>552.65733557943395</v>
      </c>
      <c r="BO17" s="180">
        <f>SUM(BL17:BN17)</f>
        <v>1982.7521378094089</v>
      </c>
      <c r="BP17" s="183"/>
      <c r="BQ17" s="184"/>
      <c r="BR17" s="533">
        <f>SUM((BR8+(BN18*BR14))-(BN18*BR15))</f>
        <v>864.81995123067009</v>
      </c>
      <c r="BS17" s="424">
        <f>SUM((BS8+(BR18*BS14))-(BR18*BS15))</f>
        <v>736.11742700110926</v>
      </c>
      <c r="BT17" s="424">
        <f>SUM((BT8+(BS18*BT14))-(BS18*BT15))</f>
        <v>626.56841526798053</v>
      </c>
      <c r="BU17" s="180">
        <f>SUM(BR17:BT17)</f>
        <v>2227.5057934997599</v>
      </c>
      <c r="BV17" s="183"/>
      <c r="BW17" s="533">
        <f>SUM((BW8+(BT18*BW14))-(BT18*BW15))</f>
        <v>957.97320612538579</v>
      </c>
      <c r="BX17" s="424">
        <f>SUM((BX8+(BW18*BX14))-(BW18*BX15))</f>
        <v>822.08631451494739</v>
      </c>
      <c r="BY17" s="424">
        <f>SUM((BY8+(BX18*BY14))-(BX18*BY15))</f>
        <v>705.47475043296072</v>
      </c>
      <c r="BZ17" s="180">
        <f>SUM(BW17:BY17)</f>
        <v>2485.5342710732939</v>
      </c>
      <c r="CA17" s="183"/>
      <c r="CB17" s="533">
        <f>SUM((CB8+(BY18*CB14))-(BY18*CB15))</f>
        <v>1058.2821678849814</v>
      </c>
      <c r="CC17" s="424">
        <f>SUM((CC8+(CB18*CC14))-(CB18*CC15))</f>
        <v>915.54895804173793</v>
      </c>
      <c r="CD17" s="424">
        <f>SUM((CD8+(CC18*CD14))-(CC18*CD15))</f>
        <v>792.06653953788918</v>
      </c>
      <c r="CE17" s="180">
        <f>SUM(CB17:CD17)</f>
        <v>2765.8976654646085</v>
      </c>
      <c r="CF17" s="183"/>
      <c r="CG17" s="533">
        <f>SUM((CG8+(CD18*CG14))-(CD18*CG15))</f>
        <v>1168.2777771341616</v>
      </c>
      <c r="CH17" s="424">
        <f>SUM((CH8+(CG18*CH14))-(CG18*CH15))</f>
        <v>1018.8654377637022</v>
      </c>
      <c r="CI17" s="424">
        <f>SUM((CI8+(CH18*CI14))-(CH18*CI15))</f>
        <v>888.56160802432987</v>
      </c>
      <c r="CJ17" s="180">
        <f>SUM(CG17:CI17)</f>
        <v>3075.7048229221937</v>
      </c>
      <c r="CK17" s="183"/>
      <c r="CL17" s="174"/>
      <c r="CM17" s="174"/>
      <c r="CN17" s="174"/>
      <c r="CO17" s="174"/>
      <c r="CP17" s="174"/>
      <c r="CQ17" s="174"/>
      <c r="CR17" s="174"/>
      <c r="CS17" s="174"/>
      <c r="CT17" s="174"/>
      <c r="CU17" s="174"/>
      <c r="CV17" s="174"/>
      <c r="CW17" s="174"/>
      <c r="CX17" s="174"/>
      <c r="CY17" s="174"/>
      <c r="CZ17" s="174"/>
      <c r="DA17" s="174"/>
      <c r="DB17" s="174"/>
      <c r="DC17" s="174"/>
      <c r="DD17" s="174"/>
      <c r="DE17" s="174"/>
      <c r="DF17" s="174"/>
      <c r="DG17" s="174"/>
      <c r="DH17" s="174"/>
      <c r="DI17" s="174"/>
      <c r="DJ17" s="174"/>
      <c r="DK17" s="174"/>
      <c r="DL17" s="174"/>
      <c r="DM17" s="174"/>
      <c r="DN17" s="174"/>
      <c r="DO17" s="174"/>
      <c r="DP17" s="174"/>
      <c r="DQ17" s="174"/>
      <c r="DR17" s="174"/>
      <c r="DS17" s="174"/>
      <c r="DT17" s="174"/>
      <c r="DU17" s="174"/>
      <c r="DV17" s="174"/>
      <c r="DW17" s="174"/>
      <c r="DX17" s="174"/>
      <c r="DY17" s="174"/>
      <c r="DZ17" s="174"/>
      <c r="EA17" s="174"/>
      <c r="EB17" s="174"/>
      <c r="EC17" s="174"/>
      <c r="ED17" s="174"/>
      <c r="EE17" s="174"/>
      <c r="EF17" s="174"/>
      <c r="EG17" s="174"/>
      <c r="EH17" s="174"/>
      <c r="EI17" s="174"/>
      <c r="EJ17" s="174"/>
      <c r="EK17" s="174"/>
      <c r="EL17" s="174"/>
      <c r="EM17" s="174"/>
      <c r="EN17" s="174"/>
      <c r="EO17" s="174"/>
      <c r="EP17" s="174"/>
      <c r="EQ17" s="174"/>
      <c r="ER17" s="174"/>
      <c r="ES17" s="174"/>
      <c r="ET17" s="174"/>
      <c r="EU17" s="174"/>
      <c r="EV17" s="174"/>
      <c r="EW17" s="174"/>
      <c r="EX17" s="174"/>
      <c r="EY17" s="174"/>
      <c r="EZ17" s="174"/>
      <c r="FA17" s="174"/>
      <c r="FB17" s="174"/>
      <c r="FC17" s="174"/>
      <c r="FD17" s="174"/>
      <c r="FE17" s="174"/>
      <c r="FF17" s="174"/>
      <c r="FG17" s="174"/>
      <c r="FH17" s="174"/>
      <c r="FI17" s="174"/>
      <c r="FJ17" s="174"/>
      <c r="FK17" s="174"/>
      <c r="FL17" s="174"/>
      <c r="FM17" s="174"/>
      <c r="FN17" s="174"/>
      <c r="FO17" s="174"/>
      <c r="FP17" s="174"/>
      <c r="FQ17" s="174"/>
      <c r="FR17" s="174"/>
      <c r="FS17" s="174"/>
      <c r="FT17" s="174"/>
      <c r="FU17" s="174"/>
      <c r="FV17" s="174"/>
      <c r="FW17" s="174"/>
    </row>
    <row r="18" spans="1:179" s="57" customFormat="1" ht="9.75" customHeight="1" x14ac:dyDescent="0.15">
      <c r="A18" s="422" t="s">
        <v>217</v>
      </c>
      <c r="B18" s="185"/>
      <c r="C18" s="186"/>
      <c r="D18" s="636"/>
      <c r="E18" s="637"/>
      <c r="F18" s="423">
        <f>AE18</f>
        <v>2020.8646691464999</v>
      </c>
      <c r="G18" s="424">
        <f>AJ18</f>
        <v>4833.8336170497632</v>
      </c>
      <c r="H18" s="424">
        <f>AO18</f>
        <v>8483.70063860954</v>
      </c>
      <c r="I18" s="424">
        <f>AT18</f>
        <v>10865.521167239924</v>
      </c>
      <c r="J18" s="180">
        <f>AS18</f>
        <v>10865.521167239924</v>
      </c>
      <c r="K18" s="424">
        <f>AZ18</f>
        <v>13367.396546158145</v>
      </c>
      <c r="L18" s="424">
        <f>BE18</f>
        <v>15527.701315460177</v>
      </c>
      <c r="M18" s="424">
        <f>BJ18</f>
        <v>17541.582885207928</v>
      </c>
      <c r="N18" s="424">
        <f>BO18</f>
        <v>19524.335023017342</v>
      </c>
      <c r="O18" s="180">
        <f>BN18</f>
        <v>19524.335023017342</v>
      </c>
      <c r="P18" s="424">
        <f>BU18</f>
        <v>21751.840816517106</v>
      </c>
      <c r="Q18" s="424">
        <f>BZ18</f>
        <v>24237.375087590401</v>
      </c>
      <c r="R18" s="424">
        <f>CE18</f>
        <v>27003.272753055007</v>
      </c>
      <c r="S18" s="424">
        <f>CJ18</f>
        <v>30078.977575977202</v>
      </c>
      <c r="T18" s="181">
        <f>CI18</f>
        <v>30078.977575977202</v>
      </c>
      <c r="U18" s="184"/>
      <c r="V18" s="182">
        <f>SUM(T18+V17)</f>
        <v>91586.845292634724</v>
      </c>
      <c r="W18" s="180">
        <f>SUM(V18+W17)</f>
        <v>148111.68729115033</v>
      </c>
      <c r="X18" s="183">
        <f>SUM(W18+X17)</f>
        <v>195233.51423873584</v>
      </c>
      <c r="Y18" s="184"/>
      <c r="Z18" s="576">
        <v>1500</v>
      </c>
      <c r="AA18" s="614"/>
      <c r="AB18" s="533">
        <f>SUM(Z18+AB17)</f>
        <v>1915.4</v>
      </c>
      <c r="AC18" s="424">
        <f>SUM(AB18+AC17)</f>
        <v>2002.57169</v>
      </c>
      <c r="AD18" s="424">
        <f>SUM(AC18+AD17)</f>
        <v>2020.8646691464999</v>
      </c>
      <c r="AE18" s="180">
        <f>AD18</f>
        <v>2020.8646691464999</v>
      </c>
      <c r="AF18" s="183"/>
      <c r="AG18" s="533">
        <f>SUM(AD18+AG17)</f>
        <v>3428.0711831691142</v>
      </c>
      <c r="AH18" s="424">
        <f>SUM(AG18+AH17)</f>
        <v>4297.1266931514783</v>
      </c>
      <c r="AI18" s="424">
        <f>SUM(AH18+AI17)</f>
        <v>4833.8336170497632</v>
      </c>
      <c r="AJ18" s="180">
        <f>AI18</f>
        <v>4833.8336170497632</v>
      </c>
      <c r="AK18" s="183"/>
      <c r="AL18" s="533">
        <f>SUM(AI18+AL17)</f>
        <v>6274.2144538628336</v>
      </c>
      <c r="AM18" s="424">
        <f>SUM(AL18+AM17)</f>
        <v>7477.868051606506</v>
      </c>
      <c r="AN18" s="424">
        <f>SUM(AM18+AN17)</f>
        <v>8483.70063860954</v>
      </c>
      <c r="AO18" s="180">
        <f>AN18</f>
        <v>8483.70063860954</v>
      </c>
      <c r="AP18" s="183"/>
      <c r="AQ18" s="533">
        <f>SUM(AN18+AQ17)</f>
        <v>9427.9008601693113</v>
      </c>
      <c r="AR18" s="424">
        <f>SUM(AQ18+AR17)</f>
        <v>10212.892602458754</v>
      </c>
      <c r="AS18" s="424">
        <f>SUM(AR18+AS17)</f>
        <v>10865.521167239924</v>
      </c>
      <c r="AT18" s="180">
        <f>AS18</f>
        <v>10865.521167239924</v>
      </c>
      <c r="AU18" s="183"/>
      <c r="AV18" s="614"/>
      <c r="AW18" s="533">
        <f>SUM(AS18+AW17)</f>
        <v>11853.241175070405</v>
      </c>
      <c r="AX18" s="424">
        <f>SUM(AW18+AX17)</f>
        <v>12678.266783501629</v>
      </c>
      <c r="AY18" s="424">
        <f>SUM(AX18+AY17)</f>
        <v>13367.396546158145</v>
      </c>
      <c r="AZ18" s="180">
        <f>AY18</f>
        <v>13367.396546158145</v>
      </c>
      <c r="BA18" s="183"/>
      <c r="BB18" s="533">
        <f>SUM(AY18+BB17)</f>
        <v>14217.63924623564</v>
      </c>
      <c r="BC18" s="424">
        <f>SUM(BB18+BC17)</f>
        <v>14930.322305252046</v>
      </c>
      <c r="BD18" s="424">
        <f>SUM(BC18+BD17)</f>
        <v>15527.701315460177</v>
      </c>
      <c r="BE18" s="180">
        <f>BD18</f>
        <v>15527.701315460177</v>
      </c>
      <c r="BF18" s="183"/>
      <c r="BG18" s="533">
        <f>SUM(BD18+BG17)</f>
        <v>16317.831400009156</v>
      </c>
      <c r="BH18" s="424">
        <f>SUM(BG18+BH17)</f>
        <v>16982.482948193829</v>
      </c>
      <c r="BI18" s="424">
        <f>SUM(BH18+BI17)</f>
        <v>17541.582885207928</v>
      </c>
      <c r="BJ18" s="180">
        <f>BI18</f>
        <v>17541.582885207928</v>
      </c>
      <c r="BK18" s="183"/>
      <c r="BL18" s="533">
        <f>SUM(BI18+BL17)</f>
        <v>18317.033790825826</v>
      </c>
      <c r="BM18" s="424">
        <f>SUM(BL18+BM17)</f>
        <v>18971.677687437907</v>
      </c>
      <c r="BN18" s="424">
        <f>SUM(BM18+BN17)</f>
        <v>19524.335023017342</v>
      </c>
      <c r="BO18" s="180">
        <f>BN18</f>
        <v>19524.335023017342</v>
      </c>
      <c r="BP18" s="183"/>
      <c r="BQ18" s="184"/>
      <c r="BR18" s="533">
        <f>SUM(BO18+BR17)</f>
        <v>20389.154974248013</v>
      </c>
      <c r="BS18" s="424">
        <f>SUM(BR18+BS17)</f>
        <v>21125.272401249124</v>
      </c>
      <c r="BT18" s="424">
        <f>SUM(BS18+BT17)</f>
        <v>21751.840816517106</v>
      </c>
      <c r="BU18" s="180">
        <f>BT18</f>
        <v>21751.840816517106</v>
      </c>
      <c r="BV18" s="183"/>
      <c r="BW18" s="533">
        <f>SUM(BT18+BW17)</f>
        <v>22709.814022642491</v>
      </c>
      <c r="BX18" s="424">
        <f>SUM(BW18+BX17)</f>
        <v>23531.90033715744</v>
      </c>
      <c r="BY18" s="424">
        <f>SUM(BX18+BY17)</f>
        <v>24237.375087590401</v>
      </c>
      <c r="BZ18" s="180">
        <f>BY18</f>
        <v>24237.375087590401</v>
      </c>
      <c r="CA18" s="183"/>
      <c r="CB18" s="533">
        <f>SUM(BY18+CB17)</f>
        <v>25295.65725547538</v>
      </c>
      <c r="CC18" s="424">
        <f>SUM(CB18+CC17)</f>
        <v>26211.206213517118</v>
      </c>
      <c r="CD18" s="424">
        <f>SUM(CC18+CD17)</f>
        <v>27003.272753055007</v>
      </c>
      <c r="CE18" s="180">
        <f>CD18</f>
        <v>27003.272753055007</v>
      </c>
      <c r="CF18" s="183"/>
      <c r="CG18" s="533">
        <f>SUM(CD18+CG17)</f>
        <v>28171.550530189168</v>
      </c>
      <c r="CH18" s="424">
        <f>SUM(CG18+CH17)</f>
        <v>29190.415967952871</v>
      </c>
      <c r="CI18" s="424">
        <f>SUM(CH18+CI17)</f>
        <v>30078.977575977202</v>
      </c>
      <c r="CJ18" s="180">
        <f>CI18</f>
        <v>30078.977575977202</v>
      </c>
      <c r="CK18" s="183"/>
      <c r="CL18" s="55"/>
      <c r="CM18" s="55"/>
      <c r="CN18" s="55"/>
      <c r="CO18" s="55"/>
      <c r="CP18" s="55"/>
      <c r="CQ18" s="55"/>
      <c r="CR18" s="55"/>
      <c r="CS18" s="55"/>
      <c r="CT18" s="55"/>
      <c r="CU18" s="55"/>
      <c r="CV18" s="55"/>
      <c r="CW18" s="55"/>
      <c r="CX18" s="55"/>
      <c r="CY18" s="55"/>
      <c r="CZ18" s="55"/>
      <c r="DA18" s="55"/>
      <c r="DB18" s="55"/>
      <c r="DC18" s="55"/>
      <c r="DD18" s="55"/>
      <c r="DE18" s="55"/>
      <c r="DF18" s="55"/>
      <c r="DG18" s="55"/>
      <c r="DH18" s="55"/>
      <c r="DI18" s="55"/>
      <c r="DJ18" s="55"/>
      <c r="DK18" s="55"/>
      <c r="DL18" s="55"/>
      <c r="DM18" s="55"/>
      <c r="DN18" s="55"/>
      <c r="DO18" s="55"/>
      <c r="DP18" s="55"/>
      <c r="DQ18" s="55"/>
      <c r="DR18" s="55"/>
      <c r="DS18" s="55"/>
      <c r="DT18" s="55"/>
      <c r="DU18" s="55"/>
      <c r="DV18" s="55"/>
      <c r="DW18" s="55"/>
      <c r="DX18" s="55"/>
      <c r="DY18" s="55"/>
      <c r="DZ18" s="55"/>
      <c r="EA18" s="55"/>
      <c r="EB18" s="55"/>
      <c r="EC18" s="55"/>
      <c r="ED18" s="55"/>
      <c r="EE18" s="55"/>
      <c r="EF18" s="55"/>
      <c r="EG18" s="55"/>
      <c r="EH18" s="55"/>
      <c r="EI18" s="55"/>
      <c r="EJ18" s="55"/>
      <c r="EK18" s="55"/>
      <c r="EL18" s="55"/>
      <c r="EM18" s="55"/>
      <c r="EN18" s="55"/>
      <c r="EO18" s="55"/>
      <c r="EP18" s="55"/>
      <c r="EQ18" s="55"/>
      <c r="ER18" s="55"/>
      <c r="ES18" s="55"/>
      <c r="ET18" s="55"/>
      <c r="EU18" s="55"/>
      <c r="EV18" s="55"/>
      <c r="EW18" s="55"/>
      <c r="EX18" s="55"/>
      <c r="EY18" s="55"/>
      <c r="EZ18" s="55"/>
      <c r="FA18" s="55"/>
      <c r="FB18" s="55"/>
      <c r="FC18" s="55"/>
      <c r="FD18" s="55"/>
      <c r="FE18" s="55"/>
      <c r="FF18" s="55"/>
      <c r="FG18" s="55"/>
      <c r="FH18" s="55"/>
      <c r="FI18" s="55"/>
      <c r="FJ18" s="55"/>
      <c r="FK18" s="55"/>
      <c r="FL18" s="55"/>
      <c r="FM18" s="55"/>
      <c r="FN18" s="55"/>
      <c r="FO18" s="55"/>
      <c r="FP18" s="55"/>
      <c r="FQ18" s="55"/>
      <c r="FR18" s="55"/>
      <c r="FS18" s="55"/>
      <c r="FT18" s="55"/>
      <c r="FU18" s="55"/>
      <c r="FV18" s="55"/>
      <c r="FW18" s="55"/>
    </row>
    <row r="19" spans="1:179" s="55" customFormat="1" ht="4.5" customHeight="1" x14ac:dyDescent="0.15">
      <c r="A19" s="189"/>
      <c r="B19" s="190"/>
      <c r="C19" s="191"/>
      <c r="D19" s="192"/>
      <c r="E19" s="193"/>
      <c r="F19" s="194"/>
      <c r="G19" s="195"/>
      <c r="H19" s="195"/>
      <c r="I19" s="195"/>
      <c r="J19" s="196"/>
      <c r="K19" s="195"/>
      <c r="L19" s="195"/>
      <c r="M19" s="195"/>
      <c r="N19" s="195"/>
      <c r="O19" s="196"/>
      <c r="P19" s="195"/>
      <c r="Q19" s="195"/>
      <c r="R19" s="195"/>
      <c r="S19" s="195"/>
      <c r="T19" s="197"/>
      <c r="U19" s="199"/>
      <c r="V19" s="190"/>
      <c r="W19" s="195"/>
      <c r="X19" s="198"/>
      <c r="Y19" s="199"/>
      <c r="Z19" s="564"/>
      <c r="AA19" s="615"/>
      <c r="AB19" s="593"/>
      <c r="AC19" s="200"/>
      <c r="AD19" s="200"/>
      <c r="AE19" s="200"/>
      <c r="AF19" s="201"/>
      <c r="AG19" s="593"/>
      <c r="AH19" s="200"/>
      <c r="AI19" s="200"/>
      <c r="AJ19" s="200"/>
      <c r="AK19" s="201"/>
      <c r="AL19" s="593"/>
      <c r="AM19" s="200"/>
      <c r="AN19" s="200"/>
      <c r="AO19" s="200"/>
      <c r="AP19" s="201"/>
      <c r="AQ19" s="593"/>
      <c r="AR19" s="200"/>
      <c r="AS19" s="200"/>
      <c r="AT19" s="200"/>
      <c r="AU19" s="201"/>
      <c r="AV19" s="615"/>
      <c r="AW19" s="593"/>
      <c r="AX19" s="200"/>
      <c r="AY19" s="200"/>
      <c r="AZ19" s="200"/>
      <c r="BA19" s="201"/>
      <c r="BB19" s="593"/>
      <c r="BC19" s="200"/>
      <c r="BD19" s="200"/>
      <c r="BE19" s="200"/>
      <c r="BF19" s="201"/>
      <c r="BG19" s="593"/>
      <c r="BH19" s="200"/>
      <c r="BI19" s="200"/>
      <c r="BJ19" s="200"/>
      <c r="BK19" s="201"/>
      <c r="BL19" s="593"/>
      <c r="BM19" s="200"/>
      <c r="BN19" s="200"/>
      <c r="BO19" s="200"/>
      <c r="BP19" s="201"/>
      <c r="BQ19" s="199"/>
      <c r="BR19" s="593"/>
      <c r="BS19" s="200"/>
      <c r="BT19" s="200"/>
      <c r="BU19" s="200"/>
      <c r="BV19" s="201"/>
      <c r="BW19" s="593"/>
      <c r="BX19" s="200"/>
      <c r="BY19" s="200"/>
      <c r="BZ19" s="200"/>
      <c r="CA19" s="201"/>
      <c r="CB19" s="593"/>
      <c r="CC19" s="200"/>
      <c r="CD19" s="200"/>
      <c r="CE19" s="200"/>
      <c r="CF19" s="201"/>
      <c r="CG19" s="593"/>
      <c r="CH19" s="200"/>
      <c r="CI19" s="200"/>
      <c r="CJ19" s="200"/>
      <c r="CK19" s="201"/>
    </row>
    <row r="20" spans="1:179" s="57" customFormat="1" ht="9.75" customHeight="1" x14ac:dyDescent="0.15">
      <c r="A20" s="486" t="s">
        <v>218</v>
      </c>
      <c r="B20" s="125"/>
      <c r="C20" s="202"/>
      <c r="D20" s="630"/>
      <c r="E20" s="631"/>
      <c r="F20" s="497"/>
      <c r="G20" s="496"/>
      <c r="H20" s="496"/>
      <c r="I20" s="496"/>
      <c r="J20" s="205"/>
      <c r="K20" s="496"/>
      <c r="L20" s="496"/>
      <c r="M20" s="496"/>
      <c r="N20" s="496"/>
      <c r="O20" s="205"/>
      <c r="P20" s="496"/>
      <c r="Q20" s="496"/>
      <c r="R20" s="496"/>
      <c r="S20" s="496"/>
      <c r="T20" s="206"/>
      <c r="U20" s="209"/>
      <c r="V20" s="207"/>
      <c r="W20" s="205"/>
      <c r="X20" s="208"/>
      <c r="Y20" s="209"/>
      <c r="Z20" s="577"/>
      <c r="AA20" s="616"/>
      <c r="AB20" s="594"/>
      <c r="AC20" s="490"/>
      <c r="AD20" s="490"/>
      <c r="AE20" s="490"/>
      <c r="AF20" s="212"/>
      <c r="AG20" s="594"/>
      <c r="AH20" s="490"/>
      <c r="AI20" s="490"/>
      <c r="AJ20" s="490"/>
      <c r="AK20" s="212"/>
      <c r="AL20" s="594"/>
      <c r="AM20" s="490"/>
      <c r="AN20" s="490"/>
      <c r="AO20" s="490"/>
      <c r="AP20" s="212"/>
      <c r="AQ20" s="594"/>
      <c r="AR20" s="490"/>
      <c r="AS20" s="490"/>
      <c r="AT20" s="490"/>
      <c r="AU20" s="212"/>
      <c r="AV20" s="616"/>
      <c r="AW20" s="594"/>
      <c r="AX20" s="490"/>
      <c r="AY20" s="490"/>
      <c r="AZ20" s="490"/>
      <c r="BA20" s="212"/>
      <c r="BB20" s="594"/>
      <c r="BC20" s="490"/>
      <c r="BD20" s="490"/>
      <c r="BE20" s="490"/>
      <c r="BF20" s="212"/>
      <c r="BG20" s="594"/>
      <c r="BH20" s="490"/>
      <c r="BI20" s="490"/>
      <c r="BJ20" s="490"/>
      <c r="BK20" s="212"/>
      <c r="BL20" s="594"/>
      <c r="BM20" s="490"/>
      <c r="BN20" s="490"/>
      <c r="BO20" s="490"/>
      <c r="BP20" s="212"/>
      <c r="BQ20" s="209"/>
      <c r="BR20" s="594"/>
      <c r="BS20" s="490"/>
      <c r="BT20" s="490"/>
      <c r="BU20" s="490"/>
      <c r="BV20" s="212"/>
      <c r="BW20" s="594"/>
      <c r="BX20" s="490"/>
      <c r="BY20" s="490"/>
      <c r="BZ20" s="490"/>
      <c r="CA20" s="212"/>
      <c r="CB20" s="594"/>
      <c r="CC20" s="490"/>
      <c r="CD20" s="490"/>
      <c r="CE20" s="490"/>
      <c r="CF20" s="212"/>
      <c r="CG20" s="594"/>
      <c r="CH20" s="490"/>
      <c r="CI20" s="490"/>
      <c r="CJ20" s="490"/>
      <c r="CK20" s="212"/>
      <c r="CL20" s="55"/>
      <c r="CM20" s="55"/>
      <c r="CN20" s="55"/>
      <c r="CO20" s="55"/>
      <c r="CP20" s="55"/>
      <c r="CQ20" s="55"/>
      <c r="CR20" s="55"/>
      <c r="CS20" s="55"/>
      <c r="CT20" s="55"/>
      <c r="CU20" s="55"/>
      <c r="CV20" s="55"/>
      <c r="CW20" s="55"/>
      <c r="CX20" s="55"/>
      <c r="CY20" s="55"/>
      <c r="CZ20" s="55"/>
      <c r="DA20" s="55"/>
      <c r="DB20" s="55"/>
      <c r="DC20" s="55"/>
      <c r="DD20" s="55"/>
      <c r="DE20" s="55"/>
      <c r="DF20" s="55"/>
      <c r="DG20" s="55"/>
      <c r="DH20" s="55"/>
      <c r="DI20" s="55"/>
      <c r="DJ20" s="55"/>
      <c r="DK20" s="55"/>
      <c r="DL20" s="55"/>
      <c r="DM20" s="55"/>
      <c r="DN20" s="55"/>
      <c r="DO20" s="55"/>
      <c r="DP20" s="55"/>
      <c r="DQ20" s="55"/>
      <c r="DR20" s="55"/>
      <c r="DS20" s="55"/>
      <c r="DT20" s="55"/>
      <c r="DU20" s="55"/>
      <c r="DV20" s="55"/>
      <c r="DW20" s="55"/>
      <c r="DX20" s="55"/>
      <c r="DY20" s="55"/>
      <c r="DZ20" s="55"/>
      <c r="EA20" s="55"/>
      <c r="EB20" s="55"/>
      <c r="EC20" s="55"/>
      <c r="ED20" s="55"/>
      <c r="EE20" s="55"/>
      <c r="EF20" s="55"/>
      <c r="EG20" s="55"/>
      <c r="EH20" s="55"/>
      <c r="EI20" s="55"/>
      <c r="EJ20" s="55"/>
      <c r="EK20" s="55"/>
      <c r="EL20" s="55"/>
      <c r="EM20" s="55"/>
      <c r="EN20" s="55"/>
      <c r="EO20" s="55"/>
      <c r="EP20" s="55"/>
      <c r="EQ20" s="55"/>
      <c r="ER20" s="55"/>
      <c r="ES20" s="55"/>
      <c r="ET20" s="55"/>
      <c r="EU20" s="55"/>
      <c r="EV20" s="55"/>
      <c r="EW20" s="55"/>
      <c r="EX20" s="55"/>
      <c r="EY20" s="55"/>
      <c r="EZ20" s="55"/>
      <c r="FA20" s="55"/>
      <c r="FB20" s="55"/>
      <c r="FC20" s="55"/>
      <c r="FD20" s="55"/>
      <c r="FE20" s="55"/>
      <c r="FF20" s="55"/>
      <c r="FG20" s="55"/>
      <c r="FH20" s="55"/>
      <c r="FI20" s="55"/>
      <c r="FJ20" s="55"/>
      <c r="FK20" s="55"/>
      <c r="FL20" s="55"/>
      <c r="FM20" s="55"/>
      <c r="FN20" s="55"/>
      <c r="FO20" s="55"/>
      <c r="FP20" s="55"/>
      <c r="FQ20" s="55"/>
      <c r="FR20" s="55"/>
      <c r="FS20" s="55"/>
      <c r="FT20" s="55"/>
      <c r="FU20" s="55"/>
      <c r="FV20" s="55"/>
      <c r="FW20" s="55"/>
    </row>
    <row r="21" spans="1:179" s="57" customFormat="1" ht="9.75" customHeight="1" x14ac:dyDescent="0.15">
      <c r="A21" s="468" t="s">
        <v>144</v>
      </c>
      <c r="B21" s="300">
        <v>0.2</v>
      </c>
      <c r="C21" s="299">
        <v>0.05</v>
      </c>
      <c r="D21" s="224"/>
      <c r="E21" s="225"/>
      <c r="F21" s="215">
        <v>0</v>
      </c>
      <c r="G21" s="216">
        <v>0</v>
      </c>
      <c r="H21" s="493">
        <f>SUM(IF(ISBLANK(D21),B21,D21))</f>
        <v>0.2</v>
      </c>
      <c r="I21" s="493">
        <f>SUM(IF((1*(IF(ISBLANK(E21),C21,E21)))+IF(ISBLANK(D21),B21,D21) &lt; 0, 0, (1*(IF(ISBLANK(E21),C21,E21)))+IF(ISBLANK(D21),B21,D21)))</f>
        <v>0.25</v>
      </c>
      <c r="J21" s="217">
        <f>SUM(AE21+AJ21+AO21+AT21)</f>
        <v>12073.735286282772</v>
      </c>
      <c r="K21" s="493">
        <f>SUM(IF((2*(IF(ISBLANK(E21),C21,E21)))+IF(ISBLANK(D21),B21,D21) &lt; 0, 0, (2*(IF(ISBLANK(E21),C21,E21)))+IF(ISBLANK(D21),B21,D21)))</f>
        <v>0.30000000000000004</v>
      </c>
      <c r="L21" s="493">
        <f>SUM(IF((3*(IF(ISBLANK(E21),C21,E21)))+IF(ISBLANK(D21),B21,D21) &lt; 0, 0, (3*(IF(ISBLANK(E21),C21,E21)))+IF(ISBLANK(D21),B21,D21)))</f>
        <v>0.35000000000000003</v>
      </c>
      <c r="M21" s="493">
        <f>SUM(IF((4*(IF(ISBLANK(E21),C21,E21)))+IF(ISBLANK(D21),B21,D21) &lt; 0, 0, (4*(IF(ISBLANK(E21),C21,E21)))+IF(ISBLANK(D21),B21,D21)))</f>
        <v>0.4</v>
      </c>
      <c r="N21" s="493">
        <f>SUM(IF((5*(IF(ISBLANK(E21),C21,E21)))+IF(ISBLANK(D21),B21,D21) &lt; 0, 0, (5*(IF(ISBLANK(E21),C21,E21)))+IF(ISBLANK(D21),B21,D21)))</f>
        <v>0.45</v>
      </c>
      <c r="O21" s="217">
        <f>SUM(AZ21+BE21+BJ21+BO21)</f>
        <v>72908.783173791657</v>
      </c>
      <c r="P21" s="493">
        <f>SUM(IF((6*(IF(ISBLANK(E21),C21,E21)))+IF(ISBLANK(D21),B21,D21) &lt; 0, 0, (6*(IF(ISBLANK(E21),C21,E21)))+IF(ISBLANK(D21),B21,D21)))</f>
        <v>0.5</v>
      </c>
      <c r="Q21" s="493">
        <f>SUM(IF((7*(IF(ISBLANK(E21),C21,E21)))+IF(ISBLANK(D21),B21,D21) &lt; 0, 0, (7*(IF(ISBLANK(E21),C21,E21)))+IF(ISBLANK(D21),B21,D21)))</f>
        <v>0.55000000000000004</v>
      </c>
      <c r="R21" s="493">
        <f>SUM(IF((8*(IF(ISBLANK(E21),C21,E21)))+IF(ISBLANK(D21),B21,D21) &lt; 0, 0, (8*(IF(ISBLANK(E21),C21,E21)))+IF(ISBLANK(D21),B21,D21)))</f>
        <v>0.60000000000000009</v>
      </c>
      <c r="S21" s="493">
        <f>SUM(IF((9*(IF(ISBLANK(E21),C21,E21)))+IF(ISBLANK(D21),B21,D21) &lt; 0, 0, (9*(IF(ISBLANK(E21),C21,E21)))+IF(ISBLANK(D21),B21,D21)))</f>
        <v>0.65</v>
      </c>
      <c r="T21" s="218">
        <f>SUM(BU21+BZ21+CE21+CJ21)</f>
        <v>174339.32867347781</v>
      </c>
      <c r="U21" s="247"/>
      <c r="V21" s="213">
        <f>SUM(IF((11*(IF(ISBLANK(E21),C21,E21)))+IF(ISBLANK(D21),B21,D21) &lt; 0, 0, (11*(IF(ISBLANK(E21),C21,E21)))+IF(ISBLANK(D21),B21,D21)))*12</f>
        <v>9</v>
      </c>
      <c r="W21" s="219">
        <f>SUM(IF((13*(IF(ISBLANK(E21),C21,E21)))+IF(ISBLANK(D21),B21,D21) &lt; 0, 0, (13*(IF(ISBLANK(E21),C21,E21)))+IF(ISBLANK(D21),B21,D21)))*12</f>
        <v>10.200000000000001</v>
      </c>
      <c r="X21" s="220">
        <f>SUM(IF((15*(IF(ISBLANK(E21),C21,E21)))+IF(ISBLANK(D21),B21,D21) &lt; 0, 0, (15*(IF(ISBLANK(E21),C21,E21)))+IF(ISBLANK(D21),B21,D21)))*12</f>
        <v>11.399999999999999</v>
      </c>
      <c r="Y21" s="221"/>
      <c r="Z21" s="578">
        <v>0</v>
      </c>
      <c r="AA21" s="617"/>
      <c r="AB21" s="532">
        <f>SUM(AB18*F21)</f>
        <v>0</v>
      </c>
      <c r="AC21" s="492">
        <f>SUM(AC18*F21)</f>
        <v>0</v>
      </c>
      <c r="AD21" s="492">
        <f>SUM(AD18*F21)</f>
        <v>0</v>
      </c>
      <c r="AE21" s="492">
        <f t="shared" ref="AE21:AE29" si="70">SUM(AB21:AD21)</f>
        <v>0</v>
      </c>
      <c r="AF21" s="222"/>
      <c r="AG21" s="532">
        <f>SUM(AG18*G21)</f>
        <v>0</v>
      </c>
      <c r="AH21" s="492">
        <f>SUM(AH18*G21)</f>
        <v>0</v>
      </c>
      <c r="AI21" s="492">
        <f>SUM(AI18*G21)</f>
        <v>0</v>
      </c>
      <c r="AJ21" s="492">
        <f t="shared" ref="AJ21:AJ29" si="71">SUM(AG21:AI21)</f>
        <v>0</v>
      </c>
      <c r="AK21" s="222"/>
      <c r="AL21" s="532">
        <f t="shared" ref="AL21:AL28" si="72">SUM(AL18*H21)</f>
        <v>1254.8428907725668</v>
      </c>
      <c r="AM21" s="492">
        <f t="shared" ref="AM21:AM28" si="73">SUM(AM18*H21)</f>
        <v>1495.5736103213012</v>
      </c>
      <c r="AN21" s="492">
        <f t="shared" ref="AN21:AN28" si="74">SUM(AN18*H21)</f>
        <v>1696.740127721908</v>
      </c>
      <c r="AO21" s="492">
        <f t="shared" ref="AO21:AO29" si="75">SUM(AL21:AN21)</f>
        <v>4447.1566288157755</v>
      </c>
      <c r="AP21" s="222"/>
      <c r="AQ21" s="532">
        <f>SUM(AQ18*I21)</f>
        <v>2356.9752150423278</v>
      </c>
      <c r="AR21" s="492">
        <f>SUM(AR18*I21)</f>
        <v>2553.2231506146886</v>
      </c>
      <c r="AS21" s="492">
        <f>SUM(AS18*I21)</f>
        <v>2716.3802918099809</v>
      </c>
      <c r="AT21" s="492">
        <f t="shared" ref="AT21:AT29" si="76">SUM(AQ21:AS21)</f>
        <v>7626.5786574669974</v>
      </c>
      <c r="AU21" s="222"/>
      <c r="AV21" s="617"/>
      <c r="AW21" s="532">
        <f>SUM(AW18*K21)</f>
        <v>3555.972352521122</v>
      </c>
      <c r="AX21" s="492">
        <f>SUM(AX18*K21)</f>
        <v>3803.4800350504893</v>
      </c>
      <c r="AY21" s="492">
        <f>SUM(AY18*K21)</f>
        <v>4010.2189638474442</v>
      </c>
      <c r="AZ21" s="492">
        <f t="shared" ref="AZ21:AZ29" si="77">SUM(AW21:AY21)</f>
        <v>11369.671351419056</v>
      </c>
      <c r="BA21" s="222"/>
      <c r="BB21" s="532">
        <f>SUM(BB18*L21)</f>
        <v>4976.1737361824744</v>
      </c>
      <c r="BC21" s="492">
        <f>SUM(BC18*L21)</f>
        <v>5225.6128068382168</v>
      </c>
      <c r="BD21" s="492">
        <f>SUM(BD18*L21)</f>
        <v>5434.6954604110624</v>
      </c>
      <c r="BE21" s="492">
        <f t="shared" ref="BE21:BE29" si="78">SUM(BB21:BD21)</f>
        <v>15636.482003431753</v>
      </c>
      <c r="BF21" s="222"/>
      <c r="BG21" s="532">
        <f>SUM(BG18*M21)</f>
        <v>6527.1325600036625</v>
      </c>
      <c r="BH21" s="492">
        <f>SUM(BH18*M21)</f>
        <v>6792.9931792775315</v>
      </c>
      <c r="BI21" s="492">
        <f>SUM(BI18*M21)</f>
        <v>7016.6331540831716</v>
      </c>
      <c r="BJ21" s="492">
        <f t="shared" ref="BJ21:BJ29" si="79">SUM(BG21:BI21)</f>
        <v>20336.758893364364</v>
      </c>
      <c r="BK21" s="222"/>
      <c r="BL21" s="532">
        <f>SUM(BL18*N21)</f>
        <v>8242.6652058716227</v>
      </c>
      <c r="BM21" s="492">
        <f>SUM(BM18*N21)</f>
        <v>8537.2549593470576</v>
      </c>
      <c r="BN21" s="492">
        <f>SUM(BN18*N21)</f>
        <v>8785.950760357804</v>
      </c>
      <c r="BO21" s="492">
        <f t="shared" ref="BO21:BO29" si="80">SUM(BL21:BN21)</f>
        <v>25565.870925576484</v>
      </c>
      <c r="BP21" s="222"/>
      <c r="BQ21" s="221"/>
      <c r="BR21" s="532">
        <f>SUM(BR18*P21)</f>
        <v>10194.577487124006</v>
      </c>
      <c r="BS21" s="492">
        <f>SUM(BS18*P21)</f>
        <v>10562.636200624562</v>
      </c>
      <c r="BT21" s="492">
        <f>SUM(BT18*P21)</f>
        <v>10875.920408258553</v>
      </c>
      <c r="BU21" s="492">
        <f t="shared" ref="BU21:BU29" si="81">SUM(BR21:BT21)</f>
        <v>31633.134096007121</v>
      </c>
      <c r="BV21" s="222"/>
      <c r="BW21" s="532">
        <f>SUM(BW18*Q21)</f>
        <v>12490.39771245337</v>
      </c>
      <c r="BX21" s="492">
        <f>SUM(BX18*Q21)</f>
        <v>12942.545185436593</v>
      </c>
      <c r="BY21" s="492">
        <f>SUM(BY18*Q21)</f>
        <v>13330.556298174721</v>
      </c>
      <c r="BZ21" s="492">
        <f t="shared" ref="BZ21:BZ29" si="82">SUM(BW21:BY21)</f>
        <v>38763.499196064688</v>
      </c>
      <c r="CA21" s="222"/>
      <c r="CB21" s="532">
        <f>SUM(CB18*R21)</f>
        <v>15177.39435328523</v>
      </c>
      <c r="CC21" s="492">
        <f>SUM(CC18*R21)</f>
        <v>15726.723728110273</v>
      </c>
      <c r="CD21" s="492">
        <f>SUM(CD18*R21)</f>
        <v>16201.963651833006</v>
      </c>
      <c r="CE21" s="492">
        <f t="shared" ref="CE21:CE29" si="83">SUM(CB21:CD21)</f>
        <v>47106.081733228508</v>
      </c>
      <c r="CF21" s="222"/>
      <c r="CG21" s="532">
        <f>SUM(CG18*S21)</f>
        <v>18311.50784462296</v>
      </c>
      <c r="CH21" s="492">
        <f>SUM(CH18*S21)</f>
        <v>18973.770379169368</v>
      </c>
      <c r="CI21" s="492">
        <f>SUM(CI18*S21)</f>
        <v>19551.335424385183</v>
      </c>
      <c r="CJ21" s="492">
        <f t="shared" ref="CJ21:CJ29" si="84">SUM(CG21:CI21)</f>
        <v>56836.613648177503</v>
      </c>
      <c r="CK21" s="222"/>
      <c r="CL21" s="55"/>
      <c r="CM21" s="55"/>
      <c r="CN21" s="55"/>
      <c r="CO21" s="55"/>
      <c r="CP21" s="55"/>
      <c r="CQ21" s="55"/>
      <c r="CR21" s="55"/>
      <c r="CS21" s="55"/>
      <c r="CT21" s="55"/>
      <c r="CU21" s="55"/>
      <c r="CV21" s="55"/>
      <c r="CW21" s="55"/>
      <c r="CX21" s="55"/>
      <c r="CY21" s="55"/>
      <c r="CZ21" s="55"/>
      <c r="DA21" s="55"/>
      <c r="DB21" s="55"/>
      <c r="DC21" s="55"/>
      <c r="DD21" s="55"/>
      <c r="DE21" s="55"/>
      <c r="DF21" s="55"/>
      <c r="DG21" s="55"/>
      <c r="DH21" s="55"/>
      <c r="DI21" s="55"/>
      <c r="DJ21" s="55"/>
      <c r="DK21" s="55"/>
      <c r="DL21" s="55"/>
      <c r="DM21" s="55"/>
      <c r="DN21" s="55"/>
      <c r="DO21" s="55"/>
      <c r="DP21" s="55"/>
      <c r="DQ21" s="55"/>
      <c r="DR21" s="55"/>
      <c r="DS21" s="55"/>
      <c r="DT21" s="55"/>
      <c r="DU21" s="55"/>
      <c r="DV21" s="55"/>
      <c r="DW21" s="55"/>
      <c r="DX21" s="55"/>
      <c r="DY21" s="55"/>
      <c r="DZ21" s="55"/>
      <c r="EA21" s="55"/>
      <c r="EB21" s="55"/>
      <c r="EC21" s="55"/>
      <c r="ED21" s="55"/>
      <c r="EE21" s="55"/>
      <c r="EF21" s="55"/>
      <c r="EG21" s="55"/>
      <c r="EH21" s="55"/>
      <c r="EI21" s="55"/>
      <c r="EJ21" s="55"/>
      <c r="EK21" s="55"/>
      <c r="EL21" s="55"/>
      <c r="EM21" s="55"/>
      <c r="EN21" s="55"/>
      <c r="EO21" s="55"/>
      <c r="EP21" s="55"/>
      <c r="EQ21" s="55"/>
      <c r="ER21" s="55"/>
      <c r="ES21" s="55"/>
      <c r="ET21" s="55"/>
      <c r="EU21" s="55"/>
      <c r="EV21" s="55"/>
      <c r="EW21" s="55"/>
      <c r="EX21" s="55"/>
      <c r="EY21" s="55"/>
      <c r="EZ21" s="55"/>
      <c r="FA21" s="55"/>
      <c r="FB21" s="55"/>
      <c r="FC21" s="55"/>
      <c r="FD21" s="55"/>
      <c r="FE21" s="55"/>
      <c r="FF21" s="55"/>
      <c r="FG21" s="55"/>
      <c r="FH21" s="55"/>
      <c r="FI21" s="55"/>
      <c r="FJ21" s="55"/>
      <c r="FK21" s="55"/>
      <c r="FL21" s="55"/>
      <c r="FM21" s="55"/>
      <c r="FN21" s="55"/>
      <c r="FO21" s="55"/>
      <c r="FP21" s="55"/>
      <c r="FQ21" s="55"/>
      <c r="FR21" s="55"/>
      <c r="FS21" s="55"/>
      <c r="FT21" s="55"/>
      <c r="FU21" s="55"/>
      <c r="FV21" s="55"/>
      <c r="FW21" s="55"/>
    </row>
    <row r="22" spans="1:179" s="57" customFormat="1" ht="9.75" customHeight="1" x14ac:dyDescent="0.15">
      <c r="A22" s="468" t="s">
        <v>145</v>
      </c>
      <c r="B22" s="300">
        <v>0.15</v>
      </c>
      <c r="C22" s="299">
        <v>0.05</v>
      </c>
      <c r="D22" s="224"/>
      <c r="E22" s="225"/>
      <c r="F22" s="215">
        <v>0</v>
      </c>
      <c r="G22" s="216">
        <v>0</v>
      </c>
      <c r="H22" s="493">
        <f t="shared" ref="H22" si="85">SUM(IF(ISBLANK(D22),B22,D22))</f>
        <v>0.15</v>
      </c>
      <c r="I22" s="493">
        <f t="shared" ref="I22" si="86">SUM(IF((1*(IF(ISBLANK(E22),C22,E22)))+IF(ISBLANK(D22),B22,D22) &lt; 0, 0, (1*(IF(ISBLANK(E22),C22,E22)))+IF(ISBLANK(D22),B22,D22)))</f>
        <v>0.2</v>
      </c>
      <c r="J22" s="217">
        <f>SUM(AE22+AJ22+AO22+AT22)</f>
        <v>6101.2629259735986</v>
      </c>
      <c r="K22" s="493">
        <f t="shared" ref="K22" si="87">SUM(IF((2*(IF(ISBLANK(E22),C22,E22)))+IF(ISBLANK(D22),B22,D22) &lt; 0, 0, (2*(IF(ISBLANK(E22),C22,E22)))+IF(ISBLANK(D22),B22,D22)))</f>
        <v>0.25</v>
      </c>
      <c r="L22" s="493">
        <f t="shared" ref="L22" si="88">SUM(IF((3*(IF(ISBLANK(E22),C22,E22)))+IF(ISBLANK(D22),B22,D22) &lt; 0, 0, (3*(IF(ISBLANK(E22),C22,E22)))+IF(ISBLANK(D22),B22,D22)))</f>
        <v>0.30000000000000004</v>
      </c>
      <c r="M22" s="493">
        <f t="shared" ref="M22" si="89">SUM(IF((4*(IF(ISBLANK(E22),C22,E22)))+IF(ISBLANK(D22),B22,D22) &lt; 0, 0, (4*(IF(ISBLANK(E22),C22,E22)))+IF(ISBLANK(D22),B22,D22)))</f>
        <v>0.35</v>
      </c>
      <c r="N22" s="493">
        <f t="shared" ref="N22" si="90">SUM(IF((5*(IF(ISBLANK(E22),C22,E22)))+IF(ISBLANK(D22),B22,D22) &lt; 0, 0, (5*(IF(ISBLANK(E22),C22,E22)))+IF(ISBLANK(D22),B22,D22)))</f>
        <v>0.4</v>
      </c>
      <c r="O22" s="217">
        <f t="shared" ref="O22:O29" si="91">SUM(AZ22+BE22+BJ22+BO22)</f>
        <v>63397.307618473154</v>
      </c>
      <c r="P22" s="493">
        <f t="shared" ref="P22" si="92">SUM(IF((6*(IF(ISBLANK(E22),C22,E22)))+IF(ISBLANK(D22),B22,D22) &lt; 0, 0, (6*(IF(ISBLANK(E22),C22,E22)))+IF(ISBLANK(D22),B22,D22)))</f>
        <v>0.45000000000000007</v>
      </c>
      <c r="Q22" s="493">
        <f t="shared" ref="Q22" si="93">SUM(IF((7*(IF(ISBLANK(E22),C22,E22)))+IF(ISBLANK(D22),B22,D22) &lt; 0, 0, (7*(IF(ISBLANK(E22),C22,E22)))+IF(ISBLANK(D22),B22,D22)))</f>
        <v>0.5</v>
      </c>
      <c r="R22" s="493">
        <f t="shared" ref="R22" si="94">SUM(IF((8*(IF(ISBLANK(E22),C22,E22)))+IF(ISBLANK(D22),B22,D22) &lt; 0, 0, (8*(IF(ISBLANK(E22),C22,E22)))+IF(ISBLANK(D22),B22,D22)))</f>
        <v>0.55000000000000004</v>
      </c>
      <c r="S22" s="493">
        <f t="shared" ref="S22" si="95">SUM(IF((9*(IF(ISBLANK(E22),C22,E22)))+IF(ISBLANK(D22),B22,D22) &lt; 0, 0, (9*(IF(ISBLANK(E22),C22,E22)))+IF(ISBLANK(D22),B22,D22)))</f>
        <v>0.6</v>
      </c>
      <c r="T22" s="218">
        <f t="shared" ref="T22:T29" si="96">SUM(BU22+BZ22+CE22+CJ22)</f>
        <v>159354.50677669927</v>
      </c>
      <c r="U22" s="247"/>
      <c r="V22" s="213">
        <f>SUM(IF((11*(IF(ISBLANK(E22),C22,E22)))+IF(ISBLANK(D22),B22,D22) &lt; 0, 0, (11*(IF(ISBLANK(E22),C22,E22)))+IF(ISBLANK(D22),B22,D22)))*12</f>
        <v>8.4</v>
      </c>
      <c r="W22" s="219">
        <f>SUM(IF((13*(IF(ISBLANK(E22),C22,E22)))+IF(ISBLANK(D22),B22,D22) &lt; 0, 0, (13*(IF(ISBLANK(E22),C22,E22)))+IF(ISBLANK(D22),B22,D22)))*12</f>
        <v>9.6000000000000014</v>
      </c>
      <c r="X22" s="220">
        <f>SUM(IF((15*(IF(ISBLANK(E22),C22,E22)))+IF(ISBLANK(D22),B22,D22) &lt; 0, 0, (15*(IF(ISBLANK(E22),C22,E22)))+IF(ISBLANK(D22),B22,D22)))*12</f>
        <v>10.8</v>
      </c>
      <c r="Y22" s="221"/>
      <c r="Z22" s="578">
        <v>0</v>
      </c>
      <c r="AA22" s="617"/>
      <c r="AB22" s="532">
        <f>SUM(AB18*F22)</f>
        <v>0</v>
      </c>
      <c r="AC22" s="492">
        <f>SUM(AC18*F22)</f>
        <v>0</v>
      </c>
      <c r="AD22" s="492">
        <f>SUM(AD18*F22)</f>
        <v>0</v>
      </c>
      <c r="AE22" s="492">
        <f t="shared" si="70"/>
        <v>0</v>
      </c>
      <c r="AF22" s="222"/>
      <c r="AG22" s="532">
        <f>SUM(AG18*G22)</f>
        <v>0</v>
      </c>
      <c r="AH22" s="492">
        <f>SUM(AH18*G22)</f>
        <v>0</v>
      </c>
      <c r="AI22" s="492">
        <f>SUM(AI18*G22)</f>
        <v>0</v>
      </c>
      <c r="AJ22" s="492">
        <f t="shared" si="71"/>
        <v>0</v>
      </c>
      <c r="AK22" s="222"/>
      <c r="AL22" s="532">
        <f t="shared" si="72"/>
        <v>0</v>
      </c>
      <c r="AM22" s="492">
        <f t="shared" si="73"/>
        <v>0</v>
      </c>
      <c r="AN22" s="492">
        <f t="shared" si="74"/>
        <v>0</v>
      </c>
      <c r="AO22" s="492">
        <f t="shared" si="75"/>
        <v>0</v>
      </c>
      <c r="AP22" s="222"/>
      <c r="AQ22" s="532">
        <f>SUM(AQ18*I22)</f>
        <v>1885.5801720338623</v>
      </c>
      <c r="AR22" s="492">
        <f>SUM(AR18*I22)</f>
        <v>2042.5785204917511</v>
      </c>
      <c r="AS22" s="492">
        <f>SUM(AS18*I22)</f>
        <v>2173.1042334479848</v>
      </c>
      <c r="AT22" s="492">
        <f t="shared" si="76"/>
        <v>6101.2629259735986</v>
      </c>
      <c r="AU22" s="222"/>
      <c r="AV22" s="617"/>
      <c r="AW22" s="532">
        <f>SUM(AW18*K22)</f>
        <v>2963.3102937676013</v>
      </c>
      <c r="AX22" s="492">
        <f>SUM(AX18*K22)</f>
        <v>3169.5666958754073</v>
      </c>
      <c r="AY22" s="492">
        <f>SUM(AY18*K22)</f>
        <v>3341.8491365395362</v>
      </c>
      <c r="AZ22" s="492">
        <f t="shared" si="77"/>
        <v>9474.7261261825442</v>
      </c>
      <c r="BA22" s="222"/>
      <c r="BB22" s="532">
        <f>SUM(BB18*L22)</f>
        <v>4265.2917738706929</v>
      </c>
      <c r="BC22" s="492">
        <f>SUM(BC18*L22)</f>
        <v>4479.0966915756144</v>
      </c>
      <c r="BD22" s="492">
        <f>SUM(BD18*L22)</f>
        <v>4658.3103946380543</v>
      </c>
      <c r="BE22" s="492">
        <f t="shared" si="78"/>
        <v>13402.698860084362</v>
      </c>
      <c r="BF22" s="222"/>
      <c r="BG22" s="532">
        <f>SUM(BG18*M22)</f>
        <v>5711.2409900032044</v>
      </c>
      <c r="BH22" s="492">
        <f>SUM(BH18*M22)</f>
        <v>5943.86903186784</v>
      </c>
      <c r="BI22" s="492">
        <f>SUM(BI18*M22)</f>
        <v>6139.5540098227748</v>
      </c>
      <c r="BJ22" s="492">
        <f t="shared" si="79"/>
        <v>17794.664031693821</v>
      </c>
      <c r="BK22" s="222"/>
      <c r="BL22" s="532">
        <f>SUM(BL18*N22)</f>
        <v>7326.8135163303305</v>
      </c>
      <c r="BM22" s="492">
        <f>SUM(BM18*N22)</f>
        <v>7588.6710749751628</v>
      </c>
      <c r="BN22" s="492">
        <f>SUM(BN18*N22)</f>
        <v>7809.7340092069371</v>
      </c>
      <c r="BO22" s="492">
        <f t="shared" si="80"/>
        <v>22725.218600512431</v>
      </c>
      <c r="BP22" s="222"/>
      <c r="BQ22" s="221"/>
      <c r="BR22" s="532">
        <f>SUM(BR18*P22)</f>
        <v>9175.1197384116076</v>
      </c>
      <c r="BS22" s="492">
        <f>SUM(BS18*P22)</f>
        <v>9506.372580562107</v>
      </c>
      <c r="BT22" s="492">
        <f>SUM(BT18*P22)</f>
        <v>9788.3283674326995</v>
      </c>
      <c r="BU22" s="492">
        <f t="shared" si="81"/>
        <v>28469.820686406416</v>
      </c>
      <c r="BV22" s="222"/>
      <c r="BW22" s="532">
        <f>SUM(BW18*Q22)</f>
        <v>11354.907011321246</v>
      </c>
      <c r="BX22" s="492">
        <f>SUM(BX18*Q22)</f>
        <v>11765.95016857872</v>
      </c>
      <c r="BY22" s="492">
        <f>SUM(BY18*Q22)</f>
        <v>12118.6875437952</v>
      </c>
      <c r="BZ22" s="492">
        <f t="shared" si="82"/>
        <v>35239.544723695166</v>
      </c>
      <c r="CA22" s="222"/>
      <c r="CB22" s="532">
        <f>SUM(CB18*R22)</f>
        <v>13912.611490511461</v>
      </c>
      <c r="CC22" s="492">
        <f>SUM(CC18*R22)</f>
        <v>14416.163417434416</v>
      </c>
      <c r="CD22" s="492">
        <f>SUM(CD18*R22)</f>
        <v>14851.800014180255</v>
      </c>
      <c r="CE22" s="492">
        <f t="shared" si="83"/>
        <v>43180.574922126136</v>
      </c>
      <c r="CF22" s="222"/>
      <c r="CG22" s="532">
        <f>SUM(CG18*S22)</f>
        <v>16902.9303181135</v>
      </c>
      <c r="CH22" s="492">
        <f>SUM(CH18*S22)</f>
        <v>17514.249580771721</v>
      </c>
      <c r="CI22" s="492">
        <f>SUM(CI18*S22)</f>
        <v>18047.38654558632</v>
      </c>
      <c r="CJ22" s="492">
        <f t="shared" si="84"/>
        <v>52464.566444471544</v>
      </c>
      <c r="CK22" s="222"/>
      <c r="CL22" s="55"/>
      <c r="CM22" s="55"/>
      <c r="CN22" s="55"/>
      <c r="CO22" s="55"/>
      <c r="CP22" s="55"/>
      <c r="CQ22" s="55"/>
      <c r="CR22" s="55"/>
      <c r="CS22" s="55"/>
      <c r="CT22" s="55"/>
      <c r="CU22" s="55"/>
      <c r="CV22" s="55"/>
      <c r="CW22" s="55"/>
      <c r="CX22" s="55"/>
      <c r="CY22" s="55"/>
      <c r="CZ22" s="55"/>
      <c r="DA22" s="55"/>
      <c r="DB22" s="55"/>
      <c r="DC22" s="55"/>
      <c r="DD22" s="55"/>
      <c r="DE22" s="55"/>
      <c r="DF22" s="55"/>
      <c r="DG22" s="55"/>
      <c r="DH22" s="55"/>
      <c r="DI22" s="55"/>
      <c r="DJ22" s="55"/>
      <c r="DK22" s="55"/>
      <c r="DL22" s="55"/>
      <c r="DM22" s="55"/>
      <c r="DN22" s="55"/>
      <c r="DO22" s="55"/>
      <c r="DP22" s="55"/>
      <c r="DQ22" s="55"/>
      <c r="DR22" s="55"/>
      <c r="DS22" s="55"/>
      <c r="DT22" s="55"/>
      <c r="DU22" s="55"/>
      <c r="DV22" s="55"/>
      <c r="DW22" s="55"/>
      <c r="DX22" s="55"/>
      <c r="DY22" s="55"/>
      <c r="DZ22" s="55"/>
      <c r="EA22" s="55"/>
      <c r="EB22" s="55"/>
      <c r="EC22" s="55"/>
      <c r="ED22" s="55"/>
      <c r="EE22" s="55"/>
      <c r="EF22" s="55"/>
      <c r="EG22" s="55"/>
      <c r="EH22" s="55"/>
      <c r="EI22" s="55"/>
      <c r="EJ22" s="55"/>
      <c r="EK22" s="55"/>
      <c r="EL22" s="55"/>
      <c r="EM22" s="55"/>
      <c r="EN22" s="55"/>
      <c r="EO22" s="55"/>
      <c r="EP22" s="55"/>
      <c r="EQ22" s="55"/>
      <c r="ER22" s="55"/>
      <c r="ES22" s="55"/>
      <c r="ET22" s="55"/>
      <c r="EU22" s="55"/>
      <c r="EV22" s="55"/>
      <c r="EW22" s="55"/>
      <c r="EX22" s="55"/>
      <c r="EY22" s="55"/>
      <c r="EZ22" s="55"/>
      <c r="FA22" s="55"/>
      <c r="FB22" s="55"/>
      <c r="FC22" s="55"/>
      <c r="FD22" s="55"/>
      <c r="FE22" s="55"/>
      <c r="FF22" s="55"/>
      <c r="FG22" s="55"/>
      <c r="FH22" s="55"/>
      <c r="FI22" s="55"/>
      <c r="FJ22" s="55"/>
      <c r="FK22" s="55"/>
      <c r="FL22" s="55"/>
      <c r="FM22" s="55"/>
      <c r="FN22" s="55"/>
      <c r="FO22" s="55"/>
      <c r="FP22" s="55"/>
      <c r="FQ22" s="55"/>
      <c r="FR22" s="55"/>
      <c r="FS22" s="55"/>
      <c r="FT22" s="55"/>
      <c r="FU22" s="55"/>
      <c r="FV22" s="55"/>
      <c r="FW22" s="55"/>
    </row>
    <row r="23" spans="1:179" s="57" customFormat="1" ht="9.75" customHeight="1" x14ac:dyDescent="0.15">
      <c r="A23" s="468" t="s">
        <v>146</v>
      </c>
      <c r="B23" s="300">
        <v>0</v>
      </c>
      <c r="C23" s="299">
        <v>0</v>
      </c>
      <c r="D23" s="224"/>
      <c r="E23" s="225"/>
      <c r="F23" s="215">
        <v>0</v>
      </c>
      <c r="G23" s="216">
        <v>0</v>
      </c>
      <c r="H23" s="223">
        <v>0</v>
      </c>
      <c r="I23" s="223">
        <v>0</v>
      </c>
      <c r="J23" s="217">
        <f t="shared" ref="J23:J29" si="97">SUM(AE23+AJ23+AO23+AT23)</f>
        <v>0</v>
      </c>
      <c r="K23" s="493">
        <f>SUM(IF((0*(IF(ISBLANK(E23),C23,E23)))+IF(ISBLANK(D23),B23,D23) &lt; 0, 0, (0*(IF(ISBLANK(E23),C23,E23)))+IF(ISBLANK(D23),B23,D23)))</f>
        <v>0</v>
      </c>
      <c r="L23" s="493">
        <f>SUM(IF((1*(IF(ISBLANK(E23),C23,E23)))+IF(ISBLANK(D23),B23,D23) &lt; 0, 0, (1*(IF(ISBLANK(E23),C23,E23)))+IF(ISBLANK(D23),B23,D23)))</f>
        <v>0</v>
      </c>
      <c r="M23" s="493">
        <f>SUM(IF((2*(IF(ISBLANK(E23),C23,E23)))+IF(ISBLANK(D23),B23,D23) &lt; 0, 0, (2*(IF(ISBLANK(E23),C23,E23)))+IF(ISBLANK(D23),B23,D23)))</f>
        <v>0</v>
      </c>
      <c r="N23" s="493">
        <f>SUM(IF((3*(IF(ISBLANK(E23),C23,E23)))+IF(ISBLANK(D23),B23,D23) &lt; 0, 0, (3*(IF(ISBLANK(E23),C23,E23)))+IF(ISBLANK(D23),B23,D23)))</f>
        <v>0</v>
      </c>
      <c r="O23" s="217">
        <f t="shared" si="91"/>
        <v>0</v>
      </c>
      <c r="P23" s="493">
        <f>SUM(IF((4*(IF(ISBLANK(E23),C23,E23)))+IF(ISBLANK(D23),B23,D23) &lt; 0, 0, (4*(IF(ISBLANK(E23),C23,E23)))+IF(ISBLANK(D23),B23,D23)))</f>
        <v>0</v>
      </c>
      <c r="Q23" s="493">
        <f>SUM(IF((5*(IF(ISBLANK(E23),C23,E23)))+IF(ISBLANK(D23),B23,D23) &lt; 0, 0, (5*(IF(ISBLANK(E23),C23,E23)))+IF(ISBLANK(D23),B23,D23)))</f>
        <v>0</v>
      </c>
      <c r="R23" s="493">
        <f>SUM(IF((6*(IF(ISBLANK(E23),C23,E23)))+IF(ISBLANK(D23),B23,D23) &lt; 0, 0, (6*(IF(ISBLANK(E23),C23,E23)))+IF(ISBLANK(D23),B23,D23)))</f>
        <v>0</v>
      </c>
      <c r="S23" s="493">
        <f>SUM(IF((7*(IF(ISBLANK(E23),C23,E23)))+IF(ISBLANK(D23),B23,D23) &lt; 0, 0, (7*(IF(ISBLANK(E23),C23,E23)))+IF(ISBLANK(D23),B23,D23)))</f>
        <v>0</v>
      </c>
      <c r="T23" s="218">
        <f t="shared" si="96"/>
        <v>0</v>
      </c>
      <c r="U23" s="247"/>
      <c r="V23" s="213">
        <f>SUM(IF((9*(IF(ISBLANK(E23),C23,E23)))+IF(ISBLANK(D23),B23,D23) &lt; 0, 0, (9*(IF(ISBLANK(E23),C23,E23)))+IF(ISBLANK(D23),B23,D23)))*12</f>
        <v>0</v>
      </c>
      <c r="W23" s="219">
        <f>SUM(IF((11*(IF(ISBLANK(E23),C23,E23)))+IF(ISBLANK(D23),B23,D23) &lt; 0, 0, (11*(IF(ISBLANK(E23),C23,E23)))+IF(ISBLANK(D23),B23,D23)))*12</f>
        <v>0</v>
      </c>
      <c r="X23" s="220">
        <f>SUM(IF((13*(IF(ISBLANK(E23),C23,E23)))+IF(ISBLANK(D23),B23,D23) &lt; 0, 0, (13*(IF(ISBLANK(E23),C23,E23)))+IF(ISBLANK(D23),B23,D23)))*12</f>
        <v>0</v>
      </c>
      <c r="Y23" s="221"/>
      <c r="Z23" s="578">
        <v>0</v>
      </c>
      <c r="AA23" s="617"/>
      <c r="AB23" s="532">
        <f>SUM(AB18*F23)</f>
        <v>0</v>
      </c>
      <c r="AC23" s="492">
        <f>SUM(AC18*F23)</f>
        <v>0</v>
      </c>
      <c r="AD23" s="492">
        <f>SUM(AD18*F23)</f>
        <v>0</v>
      </c>
      <c r="AE23" s="492">
        <f t="shared" si="70"/>
        <v>0</v>
      </c>
      <c r="AF23" s="222"/>
      <c r="AG23" s="532">
        <f>SUM(AG18*G23)</f>
        <v>0</v>
      </c>
      <c r="AH23" s="492">
        <f>SUM(AH18*G23)</f>
        <v>0</v>
      </c>
      <c r="AI23" s="492">
        <f>SUM(AI18*G23)</f>
        <v>0</v>
      </c>
      <c r="AJ23" s="492">
        <f t="shared" si="71"/>
        <v>0</v>
      </c>
      <c r="AK23" s="222"/>
      <c r="AL23" s="532">
        <f t="shared" si="72"/>
        <v>0</v>
      </c>
      <c r="AM23" s="492">
        <f t="shared" si="73"/>
        <v>0</v>
      </c>
      <c r="AN23" s="492">
        <f t="shared" si="74"/>
        <v>0</v>
      </c>
      <c r="AO23" s="492">
        <f t="shared" si="75"/>
        <v>0</v>
      </c>
      <c r="AP23" s="222"/>
      <c r="AQ23" s="532">
        <f>SUM(AQ18*I23)</f>
        <v>0</v>
      </c>
      <c r="AR23" s="492">
        <f>SUM(AR18*I23)</f>
        <v>0</v>
      </c>
      <c r="AS23" s="492">
        <f>SUM(AS18*I23)</f>
        <v>0</v>
      </c>
      <c r="AT23" s="492">
        <f t="shared" si="76"/>
        <v>0</v>
      </c>
      <c r="AU23" s="222"/>
      <c r="AV23" s="617"/>
      <c r="AW23" s="532">
        <f>SUM(AW18*K23)</f>
        <v>0</v>
      </c>
      <c r="AX23" s="492">
        <f>SUM(AX18*K23)</f>
        <v>0</v>
      </c>
      <c r="AY23" s="492">
        <f>SUM(AY18*K23)</f>
        <v>0</v>
      </c>
      <c r="AZ23" s="492">
        <f t="shared" si="77"/>
        <v>0</v>
      </c>
      <c r="BA23" s="222"/>
      <c r="BB23" s="532">
        <f>SUM(BB18*L23)</f>
        <v>0</v>
      </c>
      <c r="BC23" s="492">
        <f>SUM(BC18*L23)</f>
        <v>0</v>
      </c>
      <c r="BD23" s="492">
        <f>SUM(BD18*L23)</f>
        <v>0</v>
      </c>
      <c r="BE23" s="492">
        <f t="shared" si="78"/>
        <v>0</v>
      </c>
      <c r="BF23" s="222"/>
      <c r="BG23" s="532">
        <f>SUM(BG18*M23)</f>
        <v>0</v>
      </c>
      <c r="BH23" s="492">
        <f>SUM(BH18*M23)</f>
        <v>0</v>
      </c>
      <c r="BI23" s="492">
        <f>SUM(BI18*M23)</f>
        <v>0</v>
      </c>
      <c r="BJ23" s="492">
        <f t="shared" si="79"/>
        <v>0</v>
      </c>
      <c r="BK23" s="222"/>
      <c r="BL23" s="532">
        <f>SUM(BL18*N23)</f>
        <v>0</v>
      </c>
      <c r="BM23" s="492">
        <f>SUM(BM18*N23)</f>
        <v>0</v>
      </c>
      <c r="BN23" s="492">
        <f>SUM(BN18*N23)</f>
        <v>0</v>
      </c>
      <c r="BO23" s="492">
        <f t="shared" si="80"/>
        <v>0</v>
      </c>
      <c r="BP23" s="222"/>
      <c r="BQ23" s="221"/>
      <c r="BR23" s="532">
        <f>SUM(BR18*P23)</f>
        <v>0</v>
      </c>
      <c r="BS23" s="492">
        <f>SUM(BS18*P23)</f>
        <v>0</v>
      </c>
      <c r="BT23" s="492">
        <f>SUM(BT18*P23)</f>
        <v>0</v>
      </c>
      <c r="BU23" s="492">
        <f t="shared" si="81"/>
        <v>0</v>
      </c>
      <c r="BV23" s="222"/>
      <c r="BW23" s="532">
        <f>SUM(BW18*Q23)</f>
        <v>0</v>
      </c>
      <c r="BX23" s="492">
        <f>SUM(BX18*Q23)</f>
        <v>0</v>
      </c>
      <c r="BY23" s="492">
        <f>SUM(BY18*Q23)</f>
        <v>0</v>
      </c>
      <c r="BZ23" s="492">
        <f t="shared" si="82"/>
        <v>0</v>
      </c>
      <c r="CA23" s="222"/>
      <c r="CB23" s="532">
        <f>SUM(CB18*R23)</f>
        <v>0</v>
      </c>
      <c r="CC23" s="492">
        <f>SUM(CC18*R23)</f>
        <v>0</v>
      </c>
      <c r="CD23" s="492">
        <f>SUM(CD18*R23)</f>
        <v>0</v>
      </c>
      <c r="CE23" s="492">
        <f t="shared" si="83"/>
        <v>0</v>
      </c>
      <c r="CF23" s="222"/>
      <c r="CG23" s="532">
        <f>SUM(CG18*S23)</f>
        <v>0</v>
      </c>
      <c r="CH23" s="492">
        <f>SUM(CH18*S23)</f>
        <v>0</v>
      </c>
      <c r="CI23" s="492">
        <f>SUM(CI18*S23)</f>
        <v>0</v>
      </c>
      <c r="CJ23" s="492">
        <f t="shared" si="84"/>
        <v>0</v>
      </c>
      <c r="CK23" s="222"/>
      <c r="CL23" s="55"/>
      <c r="CM23" s="55"/>
      <c r="CN23" s="55"/>
      <c r="CO23" s="55"/>
      <c r="CP23" s="55"/>
      <c r="CQ23" s="55"/>
      <c r="CR23" s="55"/>
      <c r="CS23" s="55"/>
      <c r="CT23" s="55"/>
      <c r="CU23" s="55"/>
      <c r="CV23" s="55"/>
      <c r="CW23" s="55"/>
      <c r="CX23" s="55"/>
      <c r="CY23" s="55"/>
      <c r="CZ23" s="55"/>
      <c r="DA23" s="55"/>
      <c r="DB23" s="55"/>
      <c r="DC23" s="55"/>
      <c r="DD23" s="55"/>
      <c r="DE23" s="55"/>
      <c r="DF23" s="55"/>
      <c r="DG23" s="55"/>
      <c r="DH23" s="55"/>
      <c r="DI23" s="55"/>
      <c r="DJ23" s="55"/>
      <c r="DK23" s="55"/>
      <c r="DL23" s="55"/>
      <c r="DM23" s="55"/>
      <c r="DN23" s="55"/>
      <c r="DO23" s="55"/>
      <c r="DP23" s="55"/>
      <c r="DQ23" s="55"/>
      <c r="DR23" s="55"/>
      <c r="DS23" s="55"/>
      <c r="DT23" s="55"/>
      <c r="DU23" s="55"/>
      <c r="DV23" s="55"/>
      <c r="DW23" s="55"/>
      <c r="DX23" s="55"/>
      <c r="DY23" s="55"/>
      <c r="DZ23" s="55"/>
      <c r="EA23" s="55"/>
      <c r="EB23" s="55"/>
      <c r="EC23" s="55"/>
      <c r="ED23" s="55"/>
      <c r="EE23" s="55"/>
      <c r="EF23" s="55"/>
      <c r="EG23" s="55"/>
      <c r="EH23" s="55"/>
      <c r="EI23" s="55"/>
      <c r="EJ23" s="55"/>
      <c r="EK23" s="55"/>
      <c r="EL23" s="55"/>
      <c r="EM23" s="55"/>
      <c r="EN23" s="55"/>
      <c r="EO23" s="55"/>
      <c r="EP23" s="55"/>
      <c r="EQ23" s="55"/>
      <c r="ER23" s="55"/>
      <c r="ES23" s="55"/>
      <c r="ET23" s="55"/>
      <c r="EU23" s="55"/>
      <c r="EV23" s="55"/>
      <c r="EW23" s="55"/>
      <c r="EX23" s="55"/>
      <c r="EY23" s="55"/>
      <c r="EZ23" s="55"/>
      <c r="FA23" s="55"/>
      <c r="FB23" s="55"/>
      <c r="FC23" s="55"/>
      <c r="FD23" s="55"/>
      <c r="FE23" s="55"/>
      <c r="FF23" s="55"/>
      <c r="FG23" s="55"/>
      <c r="FH23" s="55"/>
      <c r="FI23" s="55"/>
      <c r="FJ23" s="55"/>
      <c r="FK23" s="55"/>
      <c r="FL23" s="55"/>
      <c r="FM23" s="55"/>
      <c r="FN23" s="55"/>
      <c r="FO23" s="55"/>
      <c r="FP23" s="55"/>
      <c r="FQ23" s="55"/>
      <c r="FR23" s="55"/>
      <c r="FS23" s="55"/>
      <c r="FT23" s="55"/>
      <c r="FU23" s="55"/>
      <c r="FV23" s="55"/>
      <c r="FW23" s="55"/>
    </row>
    <row r="24" spans="1:179" s="57" customFormat="1" ht="9.75" customHeight="1" x14ac:dyDescent="0.15">
      <c r="A24" s="468" t="s">
        <v>147</v>
      </c>
      <c r="B24" s="300">
        <v>0</v>
      </c>
      <c r="C24" s="299">
        <v>0</v>
      </c>
      <c r="D24" s="224"/>
      <c r="E24" s="225"/>
      <c r="F24" s="215">
        <v>0</v>
      </c>
      <c r="G24" s="216">
        <v>0</v>
      </c>
      <c r="H24" s="223">
        <v>0</v>
      </c>
      <c r="I24" s="223">
        <v>0</v>
      </c>
      <c r="J24" s="217">
        <f t="shared" si="97"/>
        <v>0</v>
      </c>
      <c r="K24" s="493">
        <f>SUM(IF((0*(IF(ISBLANK(E24),C24,E24)))+IF(ISBLANK(D24),B24,D24) &lt; 0, 0, (0*(IF(ISBLANK(E24),C24,E24)))+IF(ISBLANK(D24),B24,D24)))</f>
        <v>0</v>
      </c>
      <c r="L24" s="493">
        <f>SUM(IF((1*(IF(ISBLANK(E24),C24,E24)))+IF(ISBLANK(D24),B24,D24) &lt; 0, 0, (1*(IF(ISBLANK(E24),C24,E24)))+IF(ISBLANK(D24),B24,D24)))</f>
        <v>0</v>
      </c>
      <c r="M24" s="493">
        <f>SUM(IF((2*(IF(ISBLANK(E24),C24,E24)))+IF(ISBLANK(D24),B24,D24) &lt; 0, 0, (2*(IF(ISBLANK(E24),C24,E24)))+IF(ISBLANK(D24),B24,D24)))</f>
        <v>0</v>
      </c>
      <c r="N24" s="493">
        <f>SUM(IF((3*(IF(ISBLANK(E24),C24,E24)))+IF(ISBLANK(D24),B24,D24) &lt; 0, 0, (3*(IF(ISBLANK(E24),C24,E24)))+IF(ISBLANK(D24),B24,D24)))</f>
        <v>0</v>
      </c>
      <c r="O24" s="217">
        <f t="shared" si="91"/>
        <v>0</v>
      </c>
      <c r="P24" s="493">
        <f>SUM(IF((4*(IF(ISBLANK(E24),C24,E24)))+IF(ISBLANK(D24),B24,D24) &lt; 0, 0, (4*(IF(ISBLANK(E24),C24,E24)))+IF(ISBLANK(D24),B24,D24)))</f>
        <v>0</v>
      </c>
      <c r="Q24" s="493">
        <f>SUM(IF((5*(IF(ISBLANK(E24),C24,E24)))+IF(ISBLANK(D24),B24,D24) &lt; 0, 0, (5*(IF(ISBLANK(E24),C24,E24)))+IF(ISBLANK(D24),B24,D24)))</f>
        <v>0</v>
      </c>
      <c r="R24" s="493">
        <f>SUM(IF((6*(IF(ISBLANK(E24),C24,E24)))+IF(ISBLANK(D24),B24,D24) &lt; 0, 0, (6*(IF(ISBLANK(E24),C24,E24)))+IF(ISBLANK(D24),B24,D24)))</f>
        <v>0</v>
      </c>
      <c r="S24" s="493">
        <f>SUM(IF((7*(IF(ISBLANK(E24),C24,E24)))+IF(ISBLANK(D24),B24,D24) &lt; 0, 0, (7*(IF(ISBLANK(E24),C24,E24)))+IF(ISBLANK(D24),B24,D24)))</f>
        <v>0</v>
      </c>
      <c r="T24" s="218">
        <f t="shared" si="96"/>
        <v>0</v>
      </c>
      <c r="U24" s="247"/>
      <c r="V24" s="213">
        <f>SUM(IF((9*(IF(ISBLANK(E24),C24,E24)))+IF(ISBLANK(D24),B24,D24) &lt; 0, 0, (9*(IF(ISBLANK(E24),C24,E24)))+IF(ISBLANK(D24),B24,D24)))*12</f>
        <v>0</v>
      </c>
      <c r="W24" s="219">
        <f>SUM(IF((11*(IF(ISBLANK(E24),C24,E24)))+IF(ISBLANK(D24),B24,D24) &lt; 0, 0, (11*(IF(ISBLANK(E24),C24,E24)))+IF(ISBLANK(D24),B24,D24)))*12</f>
        <v>0</v>
      </c>
      <c r="X24" s="220">
        <f>SUM(IF((13*(IF(ISBLANK(E24),C24,E24)))+IF(ISBLANK(D24),B24,D24) &lt; 0, 0, (13*(IF(ISBLANK(E24),C24,E24)))+IF(ISBLANK(D24),B24,D24)))*12</f>
        <v>0</v>
      </c>
      <c r="Y24" s="221"/>
      <c r="Z24" s="578">
        <v>0</v>
      </c>
      <c r="AA24" s="617"/>
      <c r="AB24" s="532">
        <f>SUM(AB18*F24)</f>
        <v>0</v>
      </c>
      <c r="AC24" s="492">
        <f>SUM(AC18*F24)</f>
        <v>0</v>
      </c>
      <c r="AD24" s="492">
        <f>SUM(AD18*F24)</f>
        <v>0</v>
      </c>
      <c r="AE24" s="492">
        <f t="shared" si="70"/>
        <v>0</v>
      </c>
      <c r="AF24" s="222"/>
      <c r="AG24" s="532">
        <f>SUM(AG18*G24)</f>
        <v>0</v>
      </c>
      <c r="AH24" s="492">
        <f>SUM(AH18*G24)</f>
        <v>0</v>
      </c>
      <c r="AI24" s="492">
        <f>SUM(AI18*G24)</f>
        <v>0</v>
      </c>
      <c r="AJ24" s="492">
        <f t="shared" si="71"/>
        <v>0</v>
      </c>
      <c r="AK24" s="222"/>
      <c r="AL24" s="532">
        <f t="shared" si="72"/>
        <v>0</v>
      </c>
      <c r="AM24" s="492">
        <f t="shared" si="73"/>
        <v>0</v>
      </c>
      <c r="AN24" s="492">
        <f t="shared" si="74"/>
        <v>0</v>
      </c>
      <c r="AO24" s="492">
        <f t="shared" si="75"/>
        <v>0</v>
      </c>
      <c r="AP24" s="222"/>
      <c r="AQ24" s="532">
        <f>SUM(AQ18*I24)</f>
        <v>0</v>
      </c>
      <c r="AR24" s="492">
        <f>SUM(AR18*I24)</f>
        <v>0</v>
      </c>
      <c r="AS24" s="492">
        <f>SUM(AS18*I24)</f>
        <v>0</v>
      </c>
      <c r="AT24" s="492">
        <f t="shared" si="76"/>
        <v>0</v>
      </c>
      <c r="AU24" s="222"/>
      <c r="AV24" s="617"/>
      <c r="AW24" s="532">
        <f>SUM(AW18*K24)</f>
        <v>0</v>
      </c>
      <c r="AX24" s="492">
        <f>SUM(AX18*K24)</f>
        <v>0</v>
      </c>
      <c r="AY24" s="492">
        <f>SUM(AY18*K24)</f>
        <v>0</v>
      </c>
      <c r="AZ24" s="492">
        <f t="shared" si="77"/>
        <v>0</v>
      </c>
      <c r="BA24" s="222"/>
      <c r="BB24" s="532">
        <f>SUM(BB18*L24)</f>
        <v>0</v>
      </c>
      <c r="BC24" s="492">
        <f>SUM(BC18*L24)</f>
        <v>0</v>
      </c>
      <c r="BD24" s="492">
        <f>SUM(BD18*L24)</f>
        <v>0</v>
      </c>
      <c r="BE24" s="492">
        <f t="shared" si="78"/>
        <v>0</v>
      </c>
      <c r="BF24" s="222"/>
      <c r="BG24" s="532">
        <f>SUM(BG18*M24)</f>
        <v>0</v>
      </c>
      <c r="BH24" s="492">
        <f>SUM(BH18*M24)</f>
        <v>0</v>
      </c>
      <c r="BI24" s="492">
        <f>SUM(BI18*M24)</f>
        <v>0</v>
      </c>
      <c r="BJ24" s="492">
        <f t="shared" si="79"/>
        <v>0</v>
      </c>
      <c r="BK24" s="222"/>
      <c r="BL24" s="532">
        <f>SUM(BL18*N24)</f>
        <v>0</v>
      </c>
      <c r="BM24" s="492">
        <f>SUM(BM18*N24)</f>
        <v>0</v>
      </c>
      <c r="BN24" s="492">
        <f>SUM(BN18*N24)</f>
        <v>0</v>
      </c>
      <c r="BO24" s="492">
        <f t="shared" si="80"/>
        <v>0</v>
      </c>
      <c r="BP24" s="222"/>
      <c r="BQ24" s="221"/>
      <c r="BR24" s="532">
        <f>SUM(BR18*P24)</f>
        <v>0</v>
      </c>
      <c r="BS24" s="492">
        <f>SUM(BS18*P24)</f>
        <v>0</v>
      </c>
      <c r="BT24" s="492">
        <f>SUM(BT18*P24)</f>
        <v>0</v>
      </c>
      <c r="BU24" s="492">
        <f t="shared" si="81"/>
        <v>0</v>
      </c>
      <c r="BV24" s="222"/>
      <c r="BW24" s="532">
        <f>SUM(BW18*Q24)</f>
        <v>0</v>
      </c>
      <c r="BX24" s="492">
        <f>SUM(BX18*Q24)</f>
        <v>0</v>
      </c>
      <c r="BY24" s="492">
        <f>SUM(BY18*Q24)</f>
        <v>0</v>
      </c>
      <c r="BZ24" s="492">
        <f t="shared" si="82"/>
        <v>0</v>
      </c>
      <c r="CA24" s="222"/>
      <c r="CB24" s="532">
        <f>SUM(CB18*R24)</f>
        <v>0</v>
      </c>
      <c r="CC24" s="492">
        <f>SUM(CC18*R24)</f>
        <v>0</v>
      </c>
      <c r="CD24" s="492">
        <f>SUM(CD18*R24)</f>
        <v>0</v>
      </c>
      <c r="CE24" s="492">
        <f t="shared" si="83"/>
        <v>0</v>
      </c>
      <c r="CF24" s="222"/>
      <c r="CG24" s="532">
        <f>SUM(CG18*S24)</f>
        <v>0</v>
      </c>
      <c r="CH24" s="492">
        <f>SUM(CH18*S24)</f>
        <v>0</v>
      </c>
      <c r="CI24" s="492">
        <f>SUM(CI18*S24)</f>
        <v>0</v>
      </c>
      <c r="CJ24" s="492">
        <f t="shared" si="84"/>
        <v>0</v>
      </c>
      <c r="CK24" s="222"/>
      <c r="CL24" s="55"/>
      <c r="CM24" s="55"/>
      <c r="CN24" s="55"/>
      <c r="CO24" s="55"/>
      <c r="CP24" s="55"/>
      <c r="CQ24" s="55"/>
      <c r="CR24" s="55"/>
      <c r="CS24" s="55"/>
      <c r="CT24" s="55"/>
      <c r="CU24" s="55"/>
      <c r="CV24" s="55"/>
      <c r="CW24" s="55"/>
      <c r="CX24" s="55"/>
      <c r="CY24" s="55"/>
      <c r="CZ24" s="55"/>
      <c r="DA24" s="55"/>
      <c r="DB24" s="55"/>
      <c r="DC24" s="55"/>
      <c r="DD24" s="55"/>
      <c r="DE24" s="55"/>
      <c r="DF24" s="55"/>
      <c r="DG24" s="55"/>
      <c r="DH24" s="55"/>
      <c r="DI24" s="55"/>
      <c r="DJ24" s="55"/>
      <c r="DK24" s="55"/>
      <c r="DL24" s="55"/>
      <c r="DM24" s="55"/>
      <c r="DN24" s="55"/>
      <c r="DO24" s="55"/>
      <c r="DP24" s="55"/>
      <c r="DQ24" s="55"/>
      <c r="DR24" s="55"/>
      <c r="DS24" s="55"/>
      <c r="DT24" s="55"/>
      <c r="DU24" s="55"/>
      <c r="DV24" s="55"/>
      <c r="DW24" s="55"/>
      <c r="DX24" s="55"/>
      <c r="DY24" s="55"/>
      <c r="DZ24" s="55"/>
      <c r="EA24" s="55"/>
      <c r="EB24" s="55"/>
      <c r="EC24" s="55"/>
      <c r="ED24" s="55"/>
      <c r="EE24" s="55"/>
      <c r="EF24" s="55"/>
      <c r="EG24" s="55"/>
      <c r="EH24" s="55"/>
      <c r="EI24" s="55"/>
      <c r="EJ24" s="55"/>
      <c r="EK24" s="55"/>
      <c r="EL24" s="55"/>
      <c r="EM24" s="55"/>
      <c r="EN24" s="55"/>
      <c r="EO24" s="55"/>
      <c r="EP24" s="55"/>
      <c r="EQ24" s="55"/>
      <c r="ER24" s="55"/>
      <c r="ES24" s="55"/>
      <c r="ET24" s="55"/>
      <c r="EU24" s="55"/>
      <c r="EV24" s="55"/>
      <c r="EW24" s="55"/>
      <c r="EX24" s="55"/>
      <c r="EY24" s="55"/>
      <c r="EZ24" s="55"/>
      <c r="FA24" s="55"/>
      <c r="FB24" s="55"/>
      <c r="FC24" s="55"/>
      <c r="FD24" s="55"/>
      <c r="FE24" s="55"/>
      <c r="FF24" s="55"/>
      <c r="FG24" s="55"/>
      <c r="FH24" s="55"/>
      <c r="FI24" s="55"/>
      <c r="FJ24" s="55"/>
      <c r="FK24" s="55"/>
      <c r="FL24" s="55"/>
      <c r="FM24" s="55"/>
      <c r="FN24" s="55"/>
      <c r="FO24" s="55"/>
      <c r="FP24" s="55"/>
      <c r="FQ24" s="55"/>
      <c r="FR24" s="55"/>
      <c r="FS24" s="55"/>
      <c r="FT24" s="55"/>
      <c r="FU24" s="55"/>
      <c r="FV24" s="55"/>
      <c r="FW24" s="55"/>
    </row>
    <row r="25" spans="1:179" s="57" customFormat="1" ht="9.75" customHeight="1" x14ac:dyDescent="0.15">
      <c r="A25" s="468" t="s">
        <v>148</v>
      </c>
      <c r="B25" s="300">
        <v>0</v>
      </c>
      <c r="C25" s="299">
        <v>0</v>
      </c>
      <c r="D25" s="224"/>
      <c r="E25" s="225"/>
      <c r="F25" s="215">
        <v>0</v>
      </c>
      <c r="G25" s="216">
        <v>0</v>
      </c>
      <c r="H25" s="223">
        <v>0</v>
      </c>
      <c r="I25" s="223">
        <v>0</v>
      </c>
      <c r="J25" s="217">
        <f t="shared" si="97"/>
        <v>0</v>
      </c>
      <c r="K25" s="493">
        <f>SUM(IF((0*(IF(ISBLANK(E25),C25,E25)))+IF(ISBLANK(D25),B25,D25) &lt; 0, 0, (0*(IF(ISBLANK(E25),C25,E25)))+IF(ISBLANK(D25),B25,D25)))</f>
        <v>0</v>
      </c>
      <c r="L25" s="493">
        <f>SUM(IF((1*(IF(ISBLANK(E25),C25,E25)))+IF(ISBLANK(D25),B25,D25) &lt; 0, 0, (1*(IF(ISBLANK(E25),C25,E25)))+IF(ISBLANK(D25),B25,D25)))</f>
        <v>0</v>
      </c>
      <c r="M25" s="493">
        <f>SUM(IF((2*(IF(ISBLANK(E25),C25,E25)))+IF(ISBLANK(D25),B25,D25) &lt; 0, 0, (2*(IF(ISBLANK(E25),C25,E25)))+IF(ISBLANK(D25),B25,D25)))</f>
        <v>0</v>
      </c>
      <c r="N25" s="493">
        <f>SUM(IF((3*(IF(ISBLANK(E25),C25,E25)))+IF(ISBLANK(D25),B25,D25) &lt; 0, 0, (3*(IF(ISBLANK(E25),C25,E25)))+IF(ISBLANK(D25),B25,D25)))</f>
        <v>0</v>
      </c>
      <c r="O25" s="217">
        <f t="shared" si="91"/>
        <v>0</v>
      </c>
      <c r="P25" s="493">
        <f>SUM(IF((4*(IF(ISBLANK(E25),C25,E25)))+IF(ISBLANK(D25),B25,D25) &lt; 0, 0, (4*(IF(ISBLANK(E25),C25,E25)))+IF(ISBLANK(D25),B25,D25)))</f>
        <v>0</v>
      </c>
      <c r="Q25" s="493">
        <f>SUM(IF((5*(IF(ISBLANK(E25),C25,E25)))+IF(ISBLANK(D25),B25,D25) &lt; 0, 0, (5*(IF(ISBLANK(E25),C25,E25)))+IF(ISBLANK(D25),B25,D25)))</f>
        <v>0</v>
      </c>
      <c r="R25" s="493">
        <f>SUM(IF((6*(IF(ISBLANK(E25),C25,E25)))+IF(ISBLANK(D25),B25,D25) &lt; 0, 0, (6*(IF(ISBLANK(E25),C25,E25)))+IF(ISBLANK(D25),B25,D25)))</f>
        <v>0</v>
      </c>
      <c r="S25" s="493">
        <f>SUM(IF((7*(IF(ISBLANK(E25),C25,E25)))+IF(ISBLANK(D25),B25,D25) &lt; 0, 0, (7*(IF(ISBLANK(E25),C25,E25)))+IF(ISBLANK(D25),B25,D25)))</f>
        <v>0</v>
      </c>
      <c r="T25" s="218">
        <f t="shared" si="96"/>
        <v>0</v>
      </c>
      <c r="U25" s="247"/>
      <c r="V25" s="213">
        <f>SUM(IF((9*(IF(ISBLANK(E25),C25,E25)))+IF(ISBLANK(D25),B25,D25) &lt; 0, 0, (9*(IF(ISBLANK(E25),C25,E25)))+IF(ISBLANK(D25),B25,D25)))*12</f>
        <v>0</v>
      </c>
      <c r="W25" s="219">
        <f>SUM(IF((11*(IF(ISBLANK(E25),C25,E25)))+IF(ISBLANK(D25),B25,D25) &lt; 0, 0, (11*(IF(ISBLANK(E25),C25,E25)))+IF(ISBLANK(D25),B25,D25)))*12</f>
        <v>0</v>
      </c>
      <c r="X25" s="220">
        <f>SUM(IF((13*(IF(ISBLANK(E25),C25,E25)))+IF(ISBLANK(D25),B25,D25) &lt; 0, 0, (13*(IF(ISBLANK(E25),C25,E25)))+IF(ISBLANK(D25),B25,D25)))*12</f>
        <v>0</v>
      </c>
      <c r="Y25" s="221"/>
      <c r="Z25" s="578">
        <v>0</v>
      </c>
      <c r="AA25" s="617"/>
      <c r="AB25" s="532">
        <f>SUM(AB18*F25)</f>
        <v>0</v>
      </c>
      <c r="AC25" s="492">
        <f>SUM(AC18*F25)</f>
        <v>0</v>
      </c>
      <c r="AD25" s="492">
        <f>SUM(AD18*F25)</f>
        <v>0</v>
      </c>
      <c r="AE25" s="492">
        <f t="shared" si="70"/>
        <v>0</v>
      </c>
      <c r="AF25" s="222"/>
      <c r="AG25" s="532">
        <f>SUM(AG18*G25)</f>
        <v>0</v>
      </c>
      <c r="AH25" s="492">
        <f>SUM(AH18*G25)</f>
        <v>0</v>
      </c>
      <c r="AI25" s="492">
        <f>SUM(AI18*G25)</f>
        <v>0</v>
      </c>
      <c r="AJ25" s="492">
        <f t="shared" si="71"/>
        <v>0</v>
      </c>
      <c r="AK25" s="222"/>
      <c r="AL25" s="532">
        <f t="shared" si="72"/>
        <v>0</v>
      </c>
      <c r="AM25" s="492">
        <f t="shared" si="73"/>
        <v>0</v>
      </c>
      <c r="AN25" s="492">
        <f t="shared" si="74"/>
        <v>0</v>
      </c>
      <c r="AO25" s="492">
        <f t="shared" si="75"/>
        <v>0</v>
      </c>
      <c r="AP25" s="222"/>
      <c r="AQ25" s="532">
        <f>SUM(AQ18*I25)</f>
        <v>0</v>
      </c>
      <c r="AR25" s="492">
        <f>SUM(AR18*I25)</f>
        <v>0</v>
      </c>
      <c r="AS25" s="492">
        <f>SUM(AS18*I25)</f>
        <v>0</v>
      </c>
      <c r="AT25" s="492">
        <f t="shared" si="76"/>
        <v>0</v>
      </c>
      <c r="AU25" s="222"/>
      <c r="AV25" s="617"/>
      <c r="AW25" s="532">
        <f>SUM(AW18*K25)</f>
        <v>0</v>
      </c>
      <c r="AX25" s="492">
        <f>SUM(AX18*K25)</f>
        <v>0</v>
      </c>
      <c r="AY25" s="492">
        <f>SUM(AY18*K25)</f>
        <v>0</v>
      </c>
      <c r="AZ25" s="492">
        <f t="shared" si="77"/>
        <v>0</v>
      </c>
      <c r="BA25" s="222"/>
      <c r="BB25" s="532">
        <f>SUM(BB18*L25)</f>
        <v>0</v>
      </c>
      <c r="BC25" s="492">
        <f>SUM(BC18*L25)</f>
        <v>0</v>
      </c>
      <c r="BD25" s="492">
        <f>SUM(BD18*L25)</f>
        <v>0</v>
      </c>
      <c r="BE25" s="492">
        <f t="shared" si="78"/>
        <v>0</v>
      </c>
      <c r="BF25" s="222"/>
      <c r="BG25" s="532">
        <f>SUM(BG18*M25)</f>
        <v>0</v>
      </c>
      <c r="BH25" s="492">
        <f>SUM(BH18*M25)</f>
        <v>0</v>
      </c>
      <c r="BI25" s="492">
        <f>SUM(BI18*M25)</f>
        <v>0</v>
      </c>
      <c r="BJ25" s="492">
        <f t="shared" si="79"/>
        <v>0</v>
      </c>
      <c r="BK25" s="222"/>
      <c r="BL25" s="532">
        <f>SUM(BL18*N25)</f>
        <v>0</v>
      </c>
      <c r="BM25" s="492">
        <f>SUM(BM18*N25)</f>
        <v>0</v>
      </c>
      <c r="BN25" s="492">
        <f>SUM(BN18*N25)</f>
        <v>0</v>
      </c>
      <c r="BO25" s="492">
        <f t="shared" si="80"/>
        <v>0</v>
      </c>
      <c r="BP25" s="222"/>
      <c r="BQ25" s="221"/>
      <c r="BR25" s="532">
        <f>SUM(BR18*P25)</f>
        <v>0</v>
      </c>
      <c r="BS25" s="492">
        <f>SUM(BS18*P25)</f>
        <v>0</v>
      </c>
      <c r="BT25" s="492">
        <f>SUM(BT18*P25)</f>
        <v>0</v>
      </c>
      <c r="BU25" s="492">
        <f t="shared" si="81"/>
        <v>0</v>
      </c>
      <c r="BV25" s="222"/>
      <c r="BW25" s="532">
        <f>SUM(BW18*Q25)</f>
        <v>0</v>
      </c>
      <c r="BX25" s="492">
        <f>SUM(BX18*Q25)</f>
        <v>0</v>
      </c>
      <c r="BY25" s="492">
        <f>SUM(BY18*Q25)</f>
        <v>0</v>
      </c>
      <c r="BZ25" s="492">
        <f t="shared" si="82"/>
        <v>0</v>
      </c>
      <c r="CA25" s="222"/>
      <c r="CB25" s="532">
        <f>SUM(CB18*R25)</f>
        <v>0</v>
      </c>
      <c r="CC25" s="492">
        <f>SUM(CC18*R25)</f>
        <v>0</v>
      </c>
      <c r="CD25" s="492">
        <f>SUM(CD18*R25)</f>
        <v>0</v>
      </c>
      <c r="CE25" s="492">
        <f t="shared" si="83"/>
        <v>0</v>
      </c>
      <c r="CF25" s="222"/>
      <c r="CG25" s="532">
        <f>SUM(CG18*S25)</f>
        <v>0</v>
      </c>
      <c r="CH25" s="492">
        <f>SUM(CH18*S25)</f>
        <v>0</v>
      </c>
      <c r="CI25" s="492">
        <f>SUM(CI18*S25)</f>
        <v>0</v>
      </c>
      <c r="CJ25" s="492">
        <f t="shared" si="84"/>
        <v>0</v>
      </c>
      <c r="CK25" s="222"/>
      <c r="CL25" s="55"/>
      <c r="CM25" s="55"/>
      <c r="CN25" s="55"/>
      <c r="CO25" s="55"/>
      <c r="CP25" s="55"/>
      <c r="CQ25" s="55"/>
      <c r="CR25" s="55"/>
      <c r="CS25" s="55"/>
      <c r="CT25" s="55"/>
      <c r="CU25" s="55"/>
      <c r="CV25" s="55"/>
      <c r="CW25" s="55"/>
      <c r="CX25" s="55"/>
      <c r="CY25" s="55"/>
      <c r="CZ25" s="55"/>
      <c r="DA25" s="55"/>
      <c r="DB25" s="55"/>
      <c r="DC25" s="55"/>
      <c r="DD25" s="55"/>
      <c r="DE25" s="55"/>
      <c r="DF25" s="55"/>
      <c r="DG25" s="55"/>
      <c r="DH25" s="55"/>
      <c r="DI25" s="55"/>
      <c r="DJ25" s="55"/>
      <c r="DK25" s="55"/>
      <c r="DL25" s="55"/>
      <c r="DM25" s="55"/>
      <c r="DN25" s="55"/>
      <c r="DO25" s="55"/>
      <c r="DP25" s="55"/>
      <c r="DQ25" s="55"/>
      <c r="DR25" s="55"/>
      <c r="DS25" s="55"/>
      <c r="DT25" s="55"/>
      <c r="DU25" s="55"/>
      <c r="DV25" s="55"/>
      <c r="DW25" s="55"/>
      <c r="DX25" s="55"/>
      <c r="DY25" s="55"/>
      <c r="DZ25" s="55"/>
      <c r="EA25" s="55"/>
      <c r="EB25" s="55"/>
      <c r="EC25" s="55"/>
      <c r="ED25" s="55"/>
      <c r="EE25" s="55"/>
      <c r="EF25" s="55"/>
      <c r="EG25" s="55"/>
      <c r="EH25" s="55"/>
      <c r="EI25" s="55"/>
      <c r="EJ25" s="55"/>
      <c r="EK25" s="55"/>
      <c r="EL25" s="55"/>
      <c r="EM25" s="55"/>
      <c r="EN25" s="55"/>
      <c r="EO25" s="55"/>
      <c r="EP25" s="55"/>
      <c r="EQ25" s="55"/>
      <c r="ER25" s="55"/>
      <c r="ES25" s="55"/>
      <c r="ET25" s="55"/>
      <c r="EU25" s="55"/>
      <c r="EV25" s="55"/>
      <c r="EW25" s="55"/>
      <c r="EX25" s="55"/>
      <c r="EY25" s="55"/>
      <c r="EZ25" s="55"/>
      <c r="FA25" s="55"/>
      <c r="FB25" s="55"/>
      <c r="FC25" s="55"/>
      <c r="FD25" s="55"/>
      <c r="FE25" s="55"/>
      <c r="FF25" s="55"/>
      <c r="FG25" s="55"/>
      <c r="FH25" s="55"/>
      <c r="FI25" s="55"/>
      <c r="FJ25" s="55"/>
      <c r="FK25" s="55"/>
      <c r="FL25" s="55"/>
      <c r="FM25" s="55"/>
      <c r="FN25" s="55"/>
      <c r="FO25" s="55"/>
      <c r="FP25" s="55"/>
      <c r="FQ25" s="55"/>
      <c r="FR25" s="55"/>
      <c r="FS25" s="55"/>
      <c r="FT25" s="55"/>
      <c r="FU25" s="55"/>
      <c r="FV25" s="55"/>
      <c r="FW25" s="55"/>
    </row>
    <row r="26" spans="1:179" s="57" customFormat="1" ht="9.75" customHeight="1" x14ac:dyDescent="0.15">
      <c r="A26" s="468" t="s">
        <v>149</v>
      </c>
      <c r="B26" s="300">
        <v>0</v>
      </c>
      <c r="C26" s="299">
        <v>0</v>
      </c>
      <c r="D26" s="224"/>
      <c r="E26" s="225"/>
      <c r="F26" s="215">
        <v>0</v>
      </c>
      <c r="G26" s="216">
        <v>0</v>
      </c>
      <c r="H26" s="223">
        <v>0</v>
      </c>
      <c r="I26" s="223">
        <v>0</v>
      </c>
      <c r="J26" s="217">
        <f t="shared" si="97"/>
        <v>0</v>
      </c>
      <c r="K26" s="493">
        <f>SUM(IF((0*(IF(ISBLANK(E26),C26,E26)))+IF(ISBLANK(D26),B26,D26) &lt; 0, 0, (0*(IF(ISBLANK(E26),C26,E26)))+IF(ISBLANK(D26),B26,D26)))</f>
        <v>0</v>
      </c>
      <c r="L26" s="493">
        <f>SUM(IF((1*(IF(ISBLANK(E26),C26,E26)))+IF(ISBLANK(D26),B26,D26) &lt; 0, 0, (1*(IF(ISBLANK(E26),C26,E26)))+IF(ISBLANK(D26),B26,D26)))</f>
        <v>0</v>
      </c>
      <c r="M26" s="493">
        <f>SUM(IF((2*(IF(ISBLANK(E26),C26,E26)))+IF(ISBLANK(D26),B26,D26) &lt; 0, 0, (2*(IF(ISBLANK(E26),C26,E26)))+IF(ISBLANK(D26),B26,D26)))</f>
        <v>0</v>
      </c>
      <c r="N26" s="493">
        <f>SUM(IF((3*(IF(ISBLANK(E26),C26,E26)))+IF(ISBLANK(D26),B26,D26) &lt; 0, 0, (3*(IF(ISBLANK(E26),C26,E26)))+IF(ISBLANK(D26),B26,D26)))</f>
        <v>0</v>
      </c>
      <c r="O26" s="217">
        <f t="shared" si="91"/>
        <v>0</v>
      </c>
      <c r="P26" s="493">
        <f>SUM(IF((4*(IF(ISBLANK(E26),C26,E26)))+IF(ISBLANK(D26),B26,D26) &lt; 0, 0, (4*(IF(ISBLANK(E26),C26,E26)))+IF(ISBLANK(D26),B26,D26)))</f>
        <v>0</v>
      </c>
      <c r="Q26" s="493">
        <f>SUM(IF((5*(IF(ISBLANK(E26),C26,E26)))+IF(ISBLANK(D26),B26,D26) &lt; 0, 0, (5*(IF(ISBLANK(E26),C26,E26)))+IF(ISBLANK(D26),B26,D26)))</f>
        <v>0</v>
      </c>
      <c r="R26" s="493">
        <f>SUM(IF((6*(IF(ISBLANK(E26),C26,E26)))+IF(ISBLANK(D26),B26,D26) &lt; 0, 0, (6*(IF(ISBLANK(E26),C26,E26)))+IF(ISBLANK(D26),B26,D26)))</f>
        <v>0</v>
      </c>
      <c r="S26" s="493">
        <f>SUM(IF((7*(IF(ISBLANK(E26),C26,E26)))+IF(ISBLANK(D26),B26,D26) &lt; 0, 0, (7*(IF(ISBLANK(E26),C26,E26)))+IF(ISBLANK(D26),B26,D26)))</f>
        <v>0</v>
      </c>
      <c r="T26" s="218">
        <f t="shared" si="96"/>
        <v>0</v>
      </c>
      <c r="U26" s="247"/>
      <c r="V26" s="213">
        <f>SUM(IF((9*(IF(ISBLANK(E26),C26,E26)))+IF(ISBLANK(D26),B26,D26) &lt; 0, 0, (9*(IF(ISBLANK(E26),C26,E26)))+IF(ISBLANK(D26),B26,D26)))*12</f>
        <v>0</v>
      </c>
      <c r="W26" s="219">
        <f>SUM(IF((11*(IF(ISBLANK(E26),C26,E26)))+IF(ISBLANK(D26),B26,D26) &lt; 0, 0, (11*(IF(ISBLANK(E26),C26,E26)))+IF(ISBLANK(D26),B26,D26)))*12</f>
        <v>0</v>
      </c>
      <c r="X26" s="220">
        <f>SUM(IF((13*(IF(ISBLANK(E26),C26,E26)))+IF(ISBLANK(D26),B26,D26) &lt; 0, 0, (13*(IF(ISBLANK(E26),C26,E26)))+IF(ISBLANK(D26),B26,D26)))*12</f>
        <v>0</v>
      </c>
      <c r="Y26" s="221"/>
      <c r="Z26" s="578">
        <v>0</v>
      </c>
      <c r="AA26" s="617"/>
      <c r="AB26" s="532">
        <f>SUM(AB18*F26)</f>
        <v>0</v>
      </c>
      <c r="AC26" s="492">
        <f>SUM(AC18*F26)</f>
        <v>0</v>
      </c>
      <c r="AD26" s="492">
        <f>SUM(AD18*F26)</f>
        <v>0</v>
      </c>
      <c r="AE26" s="492">
        <f t="shared" si="70"/>
        <v>0</v>
      </c>
      <c r="AF26" s="222"/>
      <c r="AG26" s="532">
        <f>SUM(AG18*G26)</f>
        <v>0</v>
      </c>
      <c r="AH26" s="492">
        <f>SUM(AH18*G26)</f>
        <v>0</v>
      </c>
      <c r="AI26" s="492">
        <f>SUM(AI18*G26)</f>
        <v>0</v>
      </c>
      <c r="AJ26" s="492">
        <f t="shared" si="71"/>
        <v>0</v>
      </c>
      <c r="AK26" s="222"/>
      <c r="AL26" s="532">
        <f t="shared" si="72"/>
        <v>0</v>
      </c>
      <c r="AM26" s="492">
        <f t="shared" si="73"/>
        <v>0</v>
      </c>
      <c r="AN26" s="492">
        <f t="shared" si="74"/>
        <v>0</v>
      </c>
      <c r="AO26" s="492">
        <f t="shared" si="75"/>
        <v>0</v>
      </c>
      <c r="AP26" s="222"/>
      <c r="AQ26" s="532">
        <f>SUM(AQ18*I26)</f>
        <v>0</v>
      </c>
      <c r="AR26" s="492">
        <f>SUM(AR18*I26)</f>
        <v>0</v>
      </c>
      <c r="AS26" s="492">
        <f>SUM(AS18*I26)</f>
        <v>0</v>
      </c>
      <c r="AT26" s="492">
        <f t="shared" si="76"/>
        <v>0</v>
      </c>
      <c r="AU26" s="222"/>
      <c r="AV26" s="617"/>
      <c r="AW26" s="532">
        <f>SUM(AW18*K26)</f>
        <v>0</v>
      </c>
      <c r="AX26" s="492">
        <f>SUM(AX18*K26)</f>
        <v>0</v>
      </c>
      <c r="AY26" s="492">
        <f>SUM(AY18*K26)</f>
        <v>0</v>
      </c>
      <c r="AZ26" s="492">
        <f t="shared" si="77"/>
        <v>0</v>
      </c>
      <c r="BA26" s="222"/>
      <c r="BB26" s="532">
        <f>SUM(BB18*L26)</f>
        <v>0</v>
      </c>
      <c r="BC26" s="492">
        <f>SUM(BC18*L26)</f>
        <v>0</v>
      </c>
      <c r="BD26" s="492">
        <f>SUM(BD18*L26)</f>
        <v>0</v>
      </c>
      <c r="BE26" s="492">
        <f t="shared" si="78"/>
        <v>0</v>
      </c>
      <c r="BF26" s="222"/>
      <c r="BG26" s="532">
        <f>SUM(BG18*M26)</f>
        <v>0</v>
      </c>
      <c r="BH26" s="492">
        <f>SUM(BH18*M26)</f>
        <v>0</v>
      </c>
      <c r="BI26" s="492">
        <f>SUM(BI18*M26)</f>
        <v>0</v>
      </c>
      <c r="BJ26" s="492">
        <f t="shared" si="79"/>
        <v>0</v>
      </c>
      <c r="BK26" s="222"/>
      <c r="BL26" s="532">
        <f>SUM(BL18*N26)</f>
        <v>0</v>
      </c>
      <c r="BM26" s="492">
        <f>SUM(BM18*N26)</f>
        <v>0</v>
      </c>
      <c r="BN26" s="492">
        <f>SUM(BN18*N26)</f>
        <v>0</v>
      </c>
      <c r="BO26" s="492">
        <f t="shared" si="80"/>
        <v>0</v>
      </c>
      <c r="BP26" s="222"/>
      <c r="BQ26" s="221"/>
      <c r="BR26" s="532">
        <f>SUM(BR18*P26)</f>
        <v>0</v>
      </c>
      <c r="BS26" s="492">
        <f>SUM(BS18*P26)</f>
        <v>0</v>
      </c>
      <c r="BT26" s="492">
        <f>SUM(BT18*P26)</f>
        <v>0</v>
      </c>
      <c r="BU26" s="492">
        <f t="shared" si="81"/>
        <v>0</v>
      </c>
      <c r="BV26" s="222"/>
      <c r="BW26" s="532">
        <f>SUM(BW18*Q26)</f>
        <v>0</v>
      </c>
      <c r="BX26" s="492">
        <f>SUM(BX18*Q26)</f>
        <v>0</v>
      </c>
      <c r="BY26" s="492">
        <f>SUM(BY18*Q26)</f>
        <v>0</v>
      </c>
      <c r="BZ26" s="492">
        <f t="shared" si="82"/>
        <v>0</v>
      </c>
      <c r="CA26" s="222"/>
      <c r="CB26" s="532">
        <f>SUM(CB18*R26)</f>
        <v>0</v>
      </c>
      <c r="CC26" s="492">
        <f>SUM(CC18*R26)</f>
        <v>0</v>
      </c>
      <c r="CD26" s="492">
        <f>SUM(CD18*R26)</f>
        <v>0</v>
      </c>
      <c r="CE26" s="492">
        <f t="shared" si="83"/>
        <v>0</v>
      </c>
      <c r="CF26" s="222"/>
      <c r="CG26" s="532">
        <f>SUM(CG18*S26)</f>
        <v>0</v>
      </c>
      <c r="CH26" s="492">
        <f>SUM(CH18*S26)</f>
        <v>0</v>
      </c>
      <c r="CI26" s="492">
        <f>SUM(CI18*S26)</f>
        <v>0</v>
      </c>
      <c r="CJ26" s="492">
        <f t="shared" si="84"/>
        <v>0</v>
      </c>
      <c r="CK26" s="222"/>
      <c r="CL26" s="55"/>
      <c r="CM26" s="55"/>
      <c r="CN26" s="55"/>
      <c r="CO26" s="55"/>
      <c r="CP26" s="55"/>
      <c r="CQ26" s="55"/>
      <c r="CR26" s="55"/>
      <c r="CS26" s="55"/>
      <c r="CT26" s="55"/>
      <c r="CU26" s="55"/>
      <c r="CV26" s="55"/>
      <c r="CW26" s="55"/>
      <c r="CX26" s="55"/>
      <c r="CY26" s="55"/>
      <c r="CZ26" s="55"/>
      <c r="DA26" s="55"/>
      <c r="DB26" s="55"/>
      <c r="DC26" s="55"/>
      <c r="DD26" s="55"/>
      <c r="DE26" s="55"/>
      <c r="DF26" s="55"/>
      <c r="DG26" s="55"/>
      <c r="DH26" s="55"/>
      <c r="DI26" s="55"/>
      <c r="DJ26" s="55"/>
      <c r="DK26" s="55"/>
      <c r="DL26" s="55"/>
      <c r="DM26" s="55"/>
      <c r="DN26" s="55"/>
      <c r="DO26" s="55"/>
      <c r="DP26" s="55"/>
      <c r="DQ26" s="55"/>
      <c r="DR26" s="55"/>
      <c r="DS26" s="55"/>
      <c r="DT26" s="55"/>
      <c r="DU26" s="55"/>
      <c r="DV26" s="55"/>
      <c r="DW26" s="55"/>
      <c r="DX26" s="55"/>
      <c r="DY26" s="55"/>
      <c r="DZ26" s="55"/>
      <c r="EA26" s="55"/>
      <c r="EB26" s="55"/>
      <c r="EC26" s="55"/>
      <c r="ED26" s="55"/>
      <c r="EE26" s="55"/>
      <c r="EF26" s="55"/>
      <c r="EG26" s="55"/>
      <c r="EH26" s="55"/>
      <c r="EI26" s="55"/>
      <c r="EJ26" s="55"/>
      <c r="EK26" s="55"/>
      <c r="EL26" s="55"/>
      <c r="EM26" s="55"/>
      <c r="EN26" s="55"/>
      <c r="EO26" s="55"/>
      <c r="EP26" s="55"/>
      <c r="EQ26" s="55"/>
      <c r="ER26" s="55"/>
      <c r="ES26" s="55"/>
      <c r="ET26" s="55"/>
      <c r="EU26" s="55"/>
      <c r="EV26" s="55"/>
      <c r="EW26" s="55"/>
      <c r="EX26" s="55"/>
      <c r="EY26" s="55"/>
      <c r="EZ26" s="55"/>
      <c r="FA26" s="55"/>
      <c r="FB26" s="55"/>
      <c r="FC26" s="55"/>
      <c r="FD26" s="55"/>
      <c r="FE26" s="55"/>
      <c r="FF26" s="55"/>
      <c r="FG26" s="55"/>
      <c r="FH26" s="55"/>
      <c r="FI26" s="55"/>
      <c r="FJ26" s="55"/>
      <c r="FK26" s="55"/>
      <c r="FL26" s="55"/>
      <c r="FM26" s="55"/>
      <c r="FN26" s="55"/>
      <c r="FO26" s="55"/>
      <c r="FP26" s="55"/>
      <c r="FQ26" s="55"/>
      <c r="FR26" s="55"/>
      <c r="FS26" s="55"/>
      <c r="FT26" s="55"/>
      <c r="FU26" s="55"/>
      <c r="FV26" s="55"/>
      <c r="FW26" s="55"/>
    </row>
    <row r="27" spans="1:179" s="57" customFormat="1" ht="9.75" customHeight="1" x14ac:dyDescent="0.15">
      <c r="A27" s="468" t="s">
        <v>150</v>
      </c>
      <c r="B27" s="300">
        <v>0</v>
      </c>
      <c r="C27" s="299">
        <v>0</v>
      </c>
      <c r="D27" s="224"/>
      <c r="E27" s="225"/>
      <c r="F27" s="215">
        <v>0</v>
      </c>
      <c r="G27" s="216">
        <v>0</v>
      </c>
      <c r="H27" s="223">
        <v>0</v>
      </c>
      <c r="I27" s="223">
        <v>0</v>
      </c>
      <c r="J27" s="217">
        <f t="shared" si="97"/>
        <v>0</v>
      </c>
      <c r="K27" s="223">
        <v>0</v>
      </c>
      <c r="L27" s="223">
        <v>0</v>
      </c>
      <c r="M27" s="223">
        <v>0</v>
      </c>
      <c r="N27" s="223">
        <v>0</v>
      </c>
      <c r="O27" s="217">
        <f t="shared" si="91"/>
        <v>0</v>
      </c>
      <c r="P27" s="493">
        <f>SUM(IF((0*(IF(ISBLANK(E27),C27,E27)))+IF(ISBLANK(D27),B27,D27) &lt; 0, 0, (0*(IF(ISBLANK(E27),C27,E27)))+IF(ISBLANK(D27),B27,D27)))</f>
        <v>0</v>
      </c>
      <c r="Q27" s="493">
        <f>SUM(IF((1*(IF(ISBLANK(E27),C27,E27)))+IF(ISBLANK(D27),B27,D27) &lt; 0, 0, (1*(IF(ISBLANK(E27),C27,E27)))+IF(ISBLANK(D27),B27,D27)))</f>
        <v>0</v>
      </c>
      <c r="R27" s="493">
        <f>SUM(IF((2*(IF(ISBLANK(E27),C27,E27)))+IF(ISBLANK(D27),B27,D27) &lt; 0, 0, (2*(IF(ISBLANK(E27),C27,E27)))+IF(ISBLANK(D27),B27,D27)))</f>
        <v>0</v>
      </c>
      <c r="S27" s="493">
        <f>SUM(IF((3*(IF(ISBLANK(E27),C27,E27)))+IF(ISBLANK(D27),B27,D27) &lt; 0, 0, (3*(IF(ISBLANK(E27),C27,E27)))+IF(ISBLANK(D27),B27,D27)))</f>
        <v>0</v>
      </c>
      <c r="T27" s="218">
        <f t="shared" si="96"/>
        <v>0</v>
      </c>
      <c r="U27" s="247"/>
      <c r="V27" s="213">
        <f>SUM(IF((5*(IF(ISBLANK(E27),C27,E27)))+IF(ISBLANK(D27),B27,D27) &lt; 0, 0, (5*(IF(ISBLANK(E27),C27,E27)))+IF(ISBLANK(D27),B27,D27)))*12</f>
        <v>0</v>
      </c>
      <c r="W27" s="219">
        <f>SUM(IF((7*(IF(ISBLANK(E27),C27,E27)))+IF(ISBLANK(D27),B27,D27) &lt; 0, 0, (7*(IF(ISBLANK(E27),C27,E27)))+IF(ISBLANK(D27),B27,D27)))*12</f>
        <v>0</v>
      </c>
      <c r="X27" s="220">
        <f>SUM(IF((9*(IF(ISBLANK(E27),C27,E27)))+IF(ISBLANK(D27),B27,D27) &lt; 0, 0, (9*(IF(ISBLANK(E27),C27,E27)))+IF(ISBLANK(D27),B27,D27)))*12</f>
        <v>0</v>
      </c>
      <c r="Y27" s="221"/>
      <c r="Z27" s="578">
        <v>0</v>
      </c>
      <c r="AA27" s="617"/>
      <c r="AB27" s="532">
        <f>SUM(AB18*F27)</f>
        <v>0</v>
      </c>
      <c r="AC27" s="492">
        <f>SUM(AC18*F27)</f>
        <v>0</v>
      </c>
      <c r="AD27" s="492">
        <f>SUM(AD18*F27)</f>
        <v>0</v>
      </c>
      <c r="AE27" s="492">
        <f t="shared" si="70"/>
        <v>0</v>
      </c>
      <c r="AF27" s="222"/>
      <c r="AG27" s="532">
        <f>SUM(AG18*G27)</f>
        <v>0</v>
      </c>
      <c r="AH27" s="492">
        <f>SUM(AH18*G27)</f>
        <v>0</v>
      </c>
      <c r="AI27" s="492">
        <f>SUM(AI18*G27)</f>
        <v>0</v>
      </c>
      <c r="AJ27" s="492">
        <f t="shared" si="71"/>
        <v>0</v>
      </c>
      <c r="AK27" s="222"/>
      <c r="AL27" s="532">
        <f t="shared" si="72"/>
        <v>0</v>
      </c>
      <c r="AM27" s="492">
        <f t="shared" si="73"/>
        <v>0</v>
      </c>
      <c r="AN27" s="492">
        <f t="shared" si="74"/>
        <v>0</v>
      </c>
      <c r="AO27" s="492">
        <f t="shared" si="75"/>
        <v>0</v>
      </c>
      <c r="AP27" s="222"/>
      <c r="AQ27" s="532">
        <f>SUM(AQ18*I27)</f>
        <v>0</v>
      </c>
      <c r="AR27" s="492">
        <f>SUM(AR18*I27)</f>
        <v>0</v>
      </c>
      <c r="AS27" s="492">
        <f>SUM(AS18*I27)</f>
        <v>0</v>
      </c>
      <c r="AT27" s="492">
        <f t="shared" si="76"/>
        <v>0</v>
      </c>
      <c r="AU27" s="222"/>
      <c r="AV27" s="617"/>
      <c r="AW27" s="532">
        <f>SUM(AW18*K27)</f>
        <v>0</v>
      </c>
      <c r="AX27" s="492">
        <f>SUM(AX18*K27)</f>
        <v>0</v>
      </c>
      <c r="AY27" s="492">
        <f>SUM(AY18*K27)</f>
        <v>0</v>
      </c>
      <c r="AZ27" s="492">
        <f t="shared" si="77"/>
        <v>0</v>
      </c>
      <c r="BA27" s="222"/>
      <c r="BB27" s="532">
        <f>SUM(BB18*L27)</f>
        <v>0</v>
      </c>
      <c r="BC27" s="492">
        <f>SUM(BC18*L27)</f>
        <v>0</v>
      </c>
      <c r="BD27" s="492">
        <f>SUM(BD18*L27)</f>
        <v>0</v>
      </c>
      <c r="BE27" s="492">
        <f t="shared" si="78"/>
        <v>0</v>
      </c>
      <c r="BF27" s="222"/>
      <c r="BG27" s="532">
        <f>SUM(BG18*M27)</f>
        <v>0</v>
      </c>
      <c r="BH27" s="492">
        <f>SUM(BH18*M27)</f>
        <v>0</v>
      </c>
      <c r="BI27" s="492">
        <f>SUM(BI18*M27)</f>
        <v>0</v>
      </c>
      <c r="BJ27" s="492">
        <f t="shared" si="79"/>
        <v>0</v>
      </c>
      <c r="BK27" s="222"/>
      <c r="BL27" s="532">
        <f>SUM(BL18*N27)</f>
        <v>0</v>
      </c>
      <c r="BM27" s="492">
        <f>SUM(BM18*N27)</f>
        <v>0</v>
      </c>
      <c r="BN27" s="492">
        <f>SUM(BN18*N27)</f>
        <v>0</v>
      </c>
      <c r="BO27" s="492">
        <f t="shared" si="80"/>
        <v>0</v>
      </c>
      <c r="BP27" s="222"/>
      <c r="BQ27" s="221"/>
      <c r="BR27" s="532">
        <f>SUM(BR18*P27)</f>
        <v>0</v>
      </c>
      <c r="BS27" s="492">
        <f>SUM(BS18*P27)</f>
        <v>0</v>
      </c>
      <c r="BT27" s="492">
        <f>SUM(BT18*P27)</f>
        <v>0</v>
      </c>
      <c r="BU27" s="492">
        <f t="shared" si="81"/>
        <v>0</v>
      </c>
      <c r="BV27" s="222"/>
      <c r="BW27" s="532">
        <f>SUM(BW18*Q27)</f>
        <v>0</v>
      </c>
      <c r="BX27" s="492">
        <f>SUM(BX18*Q27)</f>
        <v>0</v>
      </c>
      <c r="BY27" s="492">
        <f>SUM(BY18*Q27)</f>
        <v>0</v>
      </c>
      <c r="BZ27" s="492">
        <f t="shared" si="82"/>
        <v>0</v>
      </c>
      <c r="CA27" s="222"/>
      <c r="CB27" s="532">
        <f>SUM(CB18*R27)</f>
        <v>0</v>
      </c>
      <c r="CC27" s="492">
        <f>SUM(CC18*R27)</f>
        <v>0</v>
      </c>
      <c r="CD27" s="492">
        <f>SUM(CD18*R27)</f>
        <v>0</v>
      </c>
      <c r="CE27" s="492">
        <f t="shared" si="83"/>
        <v>0</v>
      </c>
      <c r="CF27" s="222"/>
      <c r="CG27" s="532">
        <f>SUM(CG18*S27)</f>
        <v>0</v>
      </c>
      <c r="CH27" s="492">
        <f>SUM(CH18*S27)</f>
        <v>0</v>
      </c>
      <c r="CI27" s="492">
        <f>SUM(CI18*S27)</f>
        <v>0</v>
      </c>
      <c r="CJ27" s="492">
        <f t="shared" si="84"/>
        <v>0</v>
      </c>
      <c r="CK27" s="222"/>
      <c r="CL27" s="55"/>
      <c r="CM27" s="55"/>
      <c r="CN27" s="55"/>
      <c r="CO27" s="55"/>
      <c r="CP27" s="55"/>
      <c r="CQ27" s="55"/>
      <c r="CR27" s="55"/>
      <c r="CS27" s="55"/>
      <c r="CT27" s="55"/>
      <c r="CU27" s="55"/>
      <c r="CV27" s="55"/>
      <c r="CW27" s="55"/>
      <c r="CX27" s="55"/>
      <c r="CY27" s="55"/>
      <c r="CZ27" s="55"/>
      <c r="DA27" s="55"/>
      <c r="DB27" s="55"/>
      <c r="DC27" s="55"/>
      <c r="DD27" s="55"/>
      <c r="DE27" s="55"/>
      <c r="DF27" s="55"/>
      <c r="DG27" s="55"/>
      <c r="DH27" s="55"/>
      <c r="DI27" s="55"/>
      <c r="DJ27" s="55"/>
      <c r="DK27" s="55"/>
      <c r="DL27" s="55"/>
      <c r="DM27" s="55"/>
      <c r="DN27" s="55"/>
      <c r="DO27" s="55"/>
      <c r="DP27" s="55"/>
      <c r="DQ27" s="55"/>
      <c r="DR27" s="55"/>
      <c r="DS27" s="55"/>
      <c r="DT27" s="55"/>
      <c r="DU27" s="55"/>
      <c r="DV27" s="55"/>
      <c r="DW27" s="55"/>
      <c r="DX27" s="55"/>
      <c r="DY27" s="55"/>
      <c r="DZ27" s="55"/>
      <c r="EA27" s="55"/>
      <c r="EB27" s="55"/>
      <c r="EC27" s="55"/>
      <c r="ED27" s="55"/>
      <c r="EE27" s="55"/>
      <c r="EF27" s="55"/>
      <c r="EG27" s="55"/>
      <c r="EH27" s="55"/>
      <c r="EI27" s="55"/>
      <c r="EJ27" s="55"/>
      <c r="EK27" s="55"/>
      <c r="EL27" s="55"/>
      <c r="EM27" s="55"/>
      <c r="EN27" s="55"/>
      <c r="EO27" s="55"/>
      <c r="EP27" s="55"/>
      <c r="EQ27" s="55"/>
      <c r="ER27" s="55"/>
      <c r="ES27" s="55"/>
      <c r="ET27" s="55"/>
      <c r="EU27" s="55"/>
      <c r="EV27" s="55"/>
      <c r="EW27" s="55"/>
      <c r="EX27" s="55"/>
      <c r="EY27" s="55"/>
      <c r="EZ27" s="55"/>
      <c r="FA27" s="55"/>
      <c r="FB27" s="55"/>
      <c r="FC27" s="55"/>
      <c r="FD27" s="55"/>
      <c r="FE27" s="55"/>
      <c r="FF27" s="55"/>
      <c r="FG27" s="55"/>
      <c r="FH27" s="55"/>
      <c r="FI27" s="55"/>
      <c r="FJ27" s="55"/>
      <c r="FK27" s="55"/>
      <c r="FL27" s="55"/>
      <c r="FM27" s="55"/>
      <c r="FN27" s="55"/>
      <c r="FO27" s="55"/>
      <c r="FP27" s="55"/>
      <c r="FQ27" s="55"/>
      <c r="FR27" s="55"/>
      <c r="FS27" s="55"/>
      <c r="FT27" s="55"/>
      <c r="FU27" s="55"/>
      <c r="FV27" s="55"/>
      <c r="FW27" s="55"/>
    </row>
    <row r="28" spans="1:179" s="57" customFormat="1" ht="9.75" customHeight="1" x14ac:dyDescent="0.15">
      <c r="A28" s="468" t="s">
        <v>151</v>
      </c>
      <c r="B28" s="300">
        <v>0</v>
      </c>
      <c r="C28" s="299">
        <v>0</v>
      </c>
      <c r="D28" s="224"/>
      <c r="E28" s="225"/>
      <c r="F28" s="215">
        <v>0</v>
      </c>
      <c r="G28" s="216">
        <v>0</v>
      </c>
      <c r="H28" s="223">
        <v>0</v>
      </c>
      <c r="I28" s="223">
        <v>0</v>
      </c>
      <c r="J28" s="217">
        <f t="shared" si="97"/>
        <v>0</v>
      </c>
      <c r="K28" s="223">
        <v>0</v>
      </c>
      <c r="L28" s="223">
        <v>0</v>
      </c>
      <c r="M28" s="223">
        <v>0</v>
      </c>
      <c r="N28" s="223">
        <v>0</v>
      </c>
      <c r="O28" s="217">
        <f t="shared" si="91"/>
        <v>0</v>
      </c>
      <c r="P28" s="493">
        <f>SUM(IF((1*(IF(ISBLANK(E28),C28,E28)))+IF(ISBLANK(D28),B28,D28) &lt; 0, 0, (1*(IF(ISBLANK(E28),C28,E28)))+IF(ISBLANK(D28),B28,D28)))</f>
        <v>0</v>
      </c>
      <c r="Q28" s="493">
        <f>SUM(IF((2*(IF(ISBLANK(E28),C28,E28)))+IF(ISBLANK(D28),B28,D28) &lt; 0, 0, (2*(IF(ISBLANK(E28),C28,E28)))+IF(ISBLANK(D28),B28,D28)))</f>
        <v>0</v>
      </c>
      <c r="R28" s="493">
        <f>SUM(IF((3*(IF(ISBLANK(E28),C28,E28)))+IF(ISBLANK(D28),B28,D28) &lt; 0, 0, (3*(IF(ISBLANK(E28),C28,E28)))+IF(ISBLANK(D28),B28,D28)))</f>
        <v>0</v>
      </c>
      <c r="S28" s="493">
        <f>SUM(IF((4*(IF(ISBLANK(E28),C28,E28)))+IF(ISBLANK(D28),B28,D28) &lt; 0, 0, (4*(IF(ISBLANK(E28),C28,E28)))+IF(ISBLANK(D28),B28,D28)))</f>
        <v>0</v>
      </c>
      <c r="T28" s="218">
        <f t="shared" si="96"/>
        <v>0</v>
      </c>
      <c r="U28" s="247"/>
      <c r="V28" s="213">
        <f>SUM(IF((6*(IF(ISBLANK(E28),C28,E28)))+IF(ISBLANK(D28),B28,D28) &lt; 0, 0, (6*(IF(ISBLANK(E28),C28,E28)))+IF(ISBLANK(D28),B28,D28)))*12</f>
        <v>0</v>
      </c>
      <c r="W28" s="219">
        <f>SUM(IF((8*(IF(ISBLANK(E28),C28,E28)))+IF(ISBLANK(D28),B28,D28) &lt; 0, 0, (8*(IF(ISBLANK(E28),C28,E28)))+IF(ISBLANK(D28),B28,D28)))*12</f>
        <v>0</v>
      </c>
      <c r="X28" s="220">
        <f>SUM(IF((10*(IF(ISBLANK(E28),C28,E28)))+IF(ISBLANK(D28),B28,D28) &lt; 0, 0, (10*(IF(ISBLANK(E28),C28,E28)))+IF(ISBLANK(D28),B28,D28)))*12</f>
        <v>0</v>
      </c>
      <c r="Y28" s="221"/>
      <c r="Z28" s="578">
        <v>0</v>
      </c>
      <c r="AA28" s="617"/>
      <c r="AB28" s="532">
        <f>SUM(AB18*F28)</f>
        <v>0</v>
      </c>
      <c r="AC28" s="492">
        <f>SUM(AC18*F28)</f>
        <v>0</v>
      </c>
      <c r="AD28" s="492">
        <f>SUM(AD18*F28)</f>
        <v>0</v>
      </c>
      <c r="AE28" s="492">
        <f t="shared" si="70"/>
        <v>0</v>
      </c>
      <c r="AF28" s="222"/>
      <c r="AG28" s="532">
        <f>SUM(AG18*G28)</f>
        <v>0</v>
      </c>
      <c r="AH28" s="492">
        <f>SUM(AH18*G28)</f>
        <v>0</v>
      </c>
      <c r="AI28" s="492">
        <f>SUM(AI18*G28)</f>
        <v>0</v>
      </c>
      <c r="AJ28" s="492">
        <f t="shared" si="71"/>
        <v>0</v>
      </c>
      <c r="AK28" s="222"/>
      <c r="AL28" s="532">
        <f t="shared" si="72"/>
        <v>0</v>
      </c>
      <c r="AM28" s="492">
        <f t="shared" si="73"/>
        <v>0</v>
      </c>
      <c r="AN28" s="492">
        <f t="shared" si="74"/>
        <v>0</v>
      </c>
      <c r="AO28" s="492">
        <f t="shared" si="75"/>
        <v>0</v>
      </c>
      <c r="AP28" s="222"/>
      <c r="AQ28" s="532">
        <f>SUM(AQ18*I28)</f>
        <v>0</v>
      </c>
      <c r="AR28" s="492">
        <f>SUM(AR18*I28)</f>
        <v>0</v>
      </c>
      <c r="AS28" s="492">
        <f>SUM(AS18*I28)</f>
        <v>0</v>
      </c>
      <c r="AT28" s="492">
        <f t="shared" si="76"/>
        <v>0</v>
      </c>
      <c r="AU28" s="222"/>
      <c r="AV28" s="617"/>
      <c r="AW28" s="532">
        <f>SUM(AW18*K28)</f>
        <v>0</v>
      </c>
      <c r="AX28" s="492">
        <f>SUM(AX18*K28)</f>
        <v>0</v>
      </c>
      <c r="AY28" s="492">
        <f>SUM(AY18*K28)</f>
        <v>0</v>
      </c>
      <c r="AZ28" s="492">
        <f t="shared" si="77"/>
        <v>0</v>
      </c>
      <c r="BA28" s="222"/>
      <c r="BB28" s="532">
        <f>SUM(BB18*L28)</f>
        <v>0</v>
      </c>
      <c r="BC28" s="492">
        <f>SUM(BC18*L28)</f>
        <v>0</v>
      </c>
      <c r="BD28" s="492">
        <f>SUM(BD18*L28)</f>
        <v>0</v>
      </c>
      <c r="BE28" s="492">
        <f t="shared" si="78"/>
        <v>0</v>
      </c>
      <c r="BF28" s="222"/>
      <c r="BG28" s="532">
        <f>SUM(BG18*M28)</f>
        <v>0</v>
      </c>
      <c r="BH28" s="492">
        <f>SUM(BH18*M28)</f>
        <v>0</v>
      </c>
      <c r="BI28" s="492">
        <f>SUM(BI18*M28)</f>
        <v>0</v>
      </c>
      <c r="BJ28" s="492">
        <f t="shared" si="79"/>
        <v>0</v>
      </c>
      <c r="BK28" s="222"/>
      <c r="BL28" s="532">
        <f>SUM(BL18*N28)</f>
        <v>0</v>
      </c>
      <c r="BM28" s="492">
        <f>SUM(BM18*N28)</f>
        <v>0</v>
      </c>
      <c r="BN28" s="492">
        <f>SUM(BN18*N28)</f>
        <v>0</v>
      </c>
      <c r="BO28" s="492">
        <f t="shared" si="80"/>
        <v>0</v>
      </c>
      <c r="BP28" s="222"/>
      <c r="BQ28" s="221"/>
      <c r="BR28" s="532">
        <f>SUM(BR18*P28)</f>
        <v>0</v>
      </c>
      <c r="BS28" s="492">
        <f>SUM(BS18*P28)</f>
        <v>0</v>
      </c>
      <c r="BT28" s="492">
        <f>SUM(BT18*P28)</f>
        <v>0</v>
      </c>
      <c r="BU28" s="492">
        <f t="shared" si="81"/>
        <v>0</v>
      </c>
      <c r="BV28" s="222"/>
      <c r="BW28" s="532">
        <f>SUM(BW18*Q28)</f>
        <v>0</v>
      </c>
      <c r="BX28" s="492">
        <f>SUM(BX18*Q28)</f>
        <v>0</v>
      </c>
      <c r="BY28" s="492">
        <f>SUM(BY18*Q28)</f>
        <v>0</v>
      </c>
      <c r="BZ28" s="492">
        <f t="shared" si="82"/>
        <v>0</v>
      </c>
      <c r="CA28" s="222"/>
      <c r="CB28" s="532">
        <f>SUM(CB18*R28)</f>
        <v>0</v>
      </c>
      <c r="CC28" s="492">
        <f>SUM(CC18*R28)</f>
        <v>0</v>
      </c>
      <c r="CD28" s="492">
        <f>SUM(CD18*R28)</f>
        <v>0</v>
      </c>
      <c r="CE28" s="492">
        <f t="shared" si="83"/>
        <v>0</v>
      </c>
      <c r="CF28" s="222"/>
      <c r="CG28" s="532">
        <f>SUM(CG18*S28)</f>
        <v>0</v>
      </c>
      <c r="CH28" s="492">
        <f>SUM(CH18*S28)</f>
        <v>0</v>
      </c>
      <c r="CI28" s="492">
        <f>SUM(CI18*S28)</f>
        <v>0</v>
      </c>
      <c r="CJ28" s="492">
        <f t="shared" si="84"/>
        <v>0</v>
      </c>
      <c r="CK28" s="222"/>
      <c r="CL28" s="55"/>
      <c r="CM28" s="55"/>
      <c r="CN28" s="55"/>
      <c r="CO28" s="55"/>
      <c r="CP28" s="55"/>
      <c r="CQ28" s="55"/>
      <c r="CR28" s="55"/>
      <c r="CS28" s="55"/>
      <c r="CT28" s="55"/>
      <c r="CU28" s="55"/>
      <c r="CV28" s="55"/>
      <c r="CW28" s="55"/>
      <c r="CX28" s="55"/>
      <c r="CY28" s="55"/>
      <c r="CZ28" s="55"/>
      <c r="DA28" s="55"/>
      <c r="DB28" s="55"/>
      <c r="DC28" s="55"/>
      <c r="DD28" s="55"/>
      <c r="DE28" s="55"/>
      <c r="DF28" s="55"/>
      <c r="DG28" s="55"/>
      <c r="DH28" s="55"/>
      <c r="DI28" s="55"/>
      <c r="DJ28" s="55"/>
      <c r="DK28" s="55"/>
      <c r="DL28" s="55"/>
      <c r="DM28" s="55"/>
      <c r="DN28" s="55"/>
      <c r="DO28" s="55"/>
      <c r="DP28" s="55"/>
      <c r="DQ28" s="55"/>
      <c r="DR28" s="55"/>
      <c r="DS28" s="55"/>
      <c r="DT28" s="55"/>
      <c r="DU28" s="55"/>
      <c r="DV28" s="55"/>
      <c r="DW28" s="55"/>
      <c r="DX28" s="55"/>
      <c r="DY28" s="55"/>
      <c r="DZ28" s="55"/>
      <c r="EA28" s="55"/>
      <c r="EB28" s="55"/>
      <c r="EC28" s="55"/>
      <c r="ED28" s="55"/>
      <c r="EE28" s="55"/>
      <c r="EF28" s="55"/>
      <c r="EG28" s="55"/>
      <c r="EH28" s="55"/>
      <c r="EI28" s="55"/>
      <c r="EJ28" s="55"/>
      <c r="EK28" s="55"/>
      <c r="EL28" s="55"/>
      <c r="EM28" s="55"/>
      <c r="EN28" s="55"/>
      <c r="EO28" s="55"/>
      <c r="EP28" s="55"/>
      <c r="EQ28" s="55"/>
      <c r="ER28" s="55"/>
      <c r="ES28" s="55"/>
      <c r="ET28" s="55"/>
      <c r="EU28" s="55"/>
      <c r="EV28" s="55"/>
      <c r="EW28" s="55"/>
      <c r="EX28" s="55"/>
      <c r="EY28" s="55"/>
      <c r="EZ28" s="55"/>
      <c r="FA28" s="55"/>
      <c r="FB28" s="55"/>
      <c r="FC28" s="55"/>
      <c r="FD28" s="55"/>
      <c r="FE28" s="55"/>
      <c r="FF28" s="55"/>
      <c r="FG28" s="55"/>
      <c r="FH28" s="55"/>
      <c r="FI28" s="55"/>
      <c r="FJ28" s="55"/>
      <c r="FK28" s="55"/>
      <c r="FL28" s="55"/>
      <c r="FM28" s="55"/>
      <c r="FN28" s="55"/>
      <c r="FO28" s="55"/>
      <c r="FP28" s="55"/>
      <c r="FQ28" s="55"/>
      <c r="FR28" s="55"/>
      <c r="FS28" s="55"/>
      <c r="FT28" s="55"/>
      <c r="FU28" s="55"/>
      <c r="FV28" s="55"/>
      <c r="FW28" s="55"/>
    </row>
    <row r="29" spans="1:179" s="57" customFormat="1" ht="9.75" customHeight="1" x14ac:dyDescent="0.15">
      <c r="A29" s="487" t="s">
        <v>152</v>
      </c>
      <c r="B29" s="697" t="s">
        <v>159</v>
      </c>
      <c r="C29" s="698"/>
      <c r="D29" s="695"/>
      <c r="E29" s="696"/>
      <c r="F29" s="226">
        <v>0</v>
      </c>
      <c r="G29" s="227">
        <v>0</v>
      </c>
      <c r="H29" s="227">
        <v>0</v>
      </c>
      <c r="I29" s="227">
        <v>0</v>
      </c>
      <c r="J29" s="217">
        <f t="shared" si="97"/>
        <v>0</v>
      </c>
      <c r="K29" s="227">
        <v>0</v>
      </c>
      <c r="L29" s="227">
        <v>0</v>
      </c>
      <c r="M29" s="227">
        <v>0</v>
      </c>
      <c r="N29" s="227">
        <v>0</v>
      </c>
      <c r="O29" s="217">
        <f t="shared" si="91"/>
        <v>0</v>
      </c>
      <c r="P29" s="227">
        <v>0</v>
      </c>
      <c r="Q29" s="227">
        <v>0</v>
      </c>
      <c r="R29" s="227">
        <v>0</v>
      </c>
      <c r="S29" s="227">
        <v>0</v>
      </c>
      <c r="T29" s="218">
        <f t="shared" si="96"/>
        <v>0</v>
      </c>
      <c r="U29" s="221"/>
      <c r="V29" s="239">
        <v>0</v>
      </c>
      <c r="W29" s="217">
        <v>0</v>
      </c>
      <c r="X29" s="242">
        <v>0</v>
      </c>
      <c r="Y29" s="221"/>
      <c r="Z29" s="578">
        <v>0</v>
      </c>
      <c r="AA29" s="617"/>
      <c r="AB29" s="532">
        <f>SUM(F29/3)</f>
        <v>0</v>
      </c>
      <c r="AC29" s="492">
        <f>SUM(F29/3)</f>
        <v>0</v>
      </c>
      <c r="AD29" s="492">
        <f>SUM(F29/3)</f>
        <v>0</v>
      </c>
      <c r="AE29" s="492">
        <f t="shared" si="70"/>
        <v>0</v>
      </c>
      <c r="AF29" s="222"/>
      <c r="AG29" s="532">
        <f>SUM(G29/3)</f>
        <v>0</v>
      </c>
      <c r="AH29" s="492">
        <f>SUM(G29/3)</f>
        <v>0</v>
      </c>
      <c r="AI29" s="492">
        <f>SUM(G29/3)</f>
        <v>0</v>
      </c>
      <c r="AJ29" s="492">
        <f t="shared" si="71"/>
        <v>0</v>
      </c>
      <c r="AK29" s="222"/>
      <c r="AL29" s="532">
        <f>SUM(H29/3)</f>
        <v>0</v>
      </c>
      <c r="AM29" s="492">
        <f>SUM(H29/3)</f>
        <v>0</v>
      </c>
      <c r="AN29" s="492">
        <f>SUM(H29/3)</f>
        <v>0</v>
      </c>
      <c r="AO29" s="492">
        <f t="shared" si="75"/>
        <v>0</v>
      </c>
      <c r="AP29" s="222"/>
      <c r="AQ29" s="532">
        <f>SUM(I29/3)</f>
        <v>0</v>
      </c>
      <c r="AR29" s="492">
        <f>SUM(I29/3)</f>
        <v>0</v>
      </c>
      <c r="AS29" s="492">
        <f>SUM(I29/3)</f>
        <v>0</v>
      </c>
      <c r="AT29" s="492">
        <f t="shared" si="76"/>
        <v>0</v>
      </c>
      <c r="AU29" s="222"/>
      <c r="AV29" s="617"/>
      <c r="AW29" s="532">
        <f>SUM(K29/3)</f>
        <v>0</v>
      </c>
      <c r="AX29" s="492">
        <f>SUM(K29/3)</f>
        <v>0</v>
      </c>
      <c r="AY29" s="492">
        <f>SUM(K29/3)</f>
        <v>0</v>
      </c>
      <c r="AZ29" s="492">
        <f t="shared" si="77"/>
        <v>0</v>
      </c>
      <c r="BA29" s="222"/>
      <c r="BB29" s="532">
        <f>SUM(L29/3)</f>
        <v>0</v>
      </c>
      <c r="BC29" s="492">
        <f>SUM(L29/3)</f>
        <v>0</v>
      </c>
      <c r="BD29" s="492">
        <f>SUM(L29/3)</f>
        <v>0</v>
      </c>
      <c r="BE29" s="492">
        <f t="shared" si="78"/>
        <v>0</v>
      </c>
      <c r="BF29" s="222"/>
      <c r="BG29" s="532">
        <f>SUM(M29/3)</f>
        <v>0</v>
      </c>
      <c r="BH29" s="492">
        <f>SUM(M29/3)</f>
        <v>0</v>
      </c>
      <c r="BI29" s="492">
        <f>SUM(M29/3)</f>
        <v>0</v>
      </c>
      <c r="BJ29" s="492">
        <f t="shared" si="79"/>
        <v>0</v>
      </c>
      <c r="BK29" s="222"/>
      <c r="BL29" s="532">
        <f>SUM(N29/3)</f>
        <v>0</v>
      </c>
      <c r="BM29" s="492">
        <f>SUM(N29/3)</f>
        <v>0</v>
      </c>
      <c r="BN29" s="492">
        <f>SUM(N29/3)</f>
        <v>0</v>
      </c>
      <c r="BO29" s="492">
        <f t="shared" si="80"/>
        <v>0</v>
      </c>
      <c r="BP29" s="222"/>
      <c r="BQ29" s="221"/>
      <c r="BR29" s="532">
        <f>SUM(P29/3)</f>
        <v>0</v>
      </c>
      <c r="BS29" s="492">
        <f>SUM(P29/3)</f>
        <v>0</v>
      </c>
      <c r="BT29" s="492">
        <f>SUM(P29/3)</f>
        <v>0</v>
      </c>
      <c r="BU29" s="492">
        <f t="shared" si="81"/>
        <v>0</v>
      </c>
      <c r="BV29" s="222"/>
      <c r="BW29" s="532">
        <f>SUM(Q29/3)</f>
        <v>0</v>
      </c>
      <c r="BX29" s="492">
        <f>SUM(Q29/3)</f>
        <v>0</v>
      </c>
      <c r="BY29" s="492">
        <f>SUM(Q29/3)</f>
        <v>0</v>
      </c>
      <c r="BZ29" s="492">
        <f t="shared" si="82"/>
        <v>0</v>
      </c>
      <c r="CA29" s="222"/>
      <c r="CB29" s="532">
        <f>SUM(R29/3)</f>
        <v>0</v>
      </c>
      <c r="CC29" s="492">
        <f>SUM(R29/3)</f>
        <v>0</v>
      </c>
      <c r="CD29" s="492">
        <f>SUM(R29/3)</f>
        <v>0</v>
      </c>
      <c r="CE29" s="492">
        <f t="shared" si="83"/>
        <v>0</v>
      </c>
      <c r="CF29" s="222"/>
      <c r="CG29" s="532">
        <f>SUM(S29/3)</f>
        <v>0</v>
      </c>
      <c r="CH29" s="492">
        <f>SUM(S29/3)</f>
        <v>0</v>
      </c>
      <c r="CI29" s="492">
        <f>SUM(S29/3)</f>
        <v>0</v>
      </c>
      <c r="CJ29" s="492">
        <f t="shared" si="84"/>
        <v>0</v>
      </c>
      <c r="CK29" s="222"/>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row>
    <row r="30" spans="1:179" s="57" customFormat="1" ht="9.75" customHeight="1" x14ac:dyDescent="0.15">
      <c r="A30" s="422" t="s">
        <v>219</v>
      </c>
      <c r="B30" s="185"/>
      <c r="C30" s="186"/>
      <c r="D30" s="636"/>
      <c r="E30" s="637"/>
      <c r="F30" s="419">
        <f>AE30</f>
        <v>0</v>
      </c>
      <c r="G30" s="420">
        <f>AJ30</f>
        <v>0</v>
      </c>
      <c r="H30" s="420">
        <f>AO30</f>
        <v>4447.1566288157755</v>
      </c>
      <c r="I30" s="420">
        <f>AT30</f>
        <v>13727.841583440595</v>
      </c>
      <c r="J30" s="211">
        <f>SUM(F30:I30)</f>
        <v>18174.998212256371</v>
      </c>
      <c r="K30" s="420">
        <f>AZ30</f>
        <v>20844.3974776016</v>
      </c>
      <c r="L30" s="420">
        <f>BE30</f>
        <v>29039.180863516114</v>
      </c>
      <c r="M30" s="420">
        <f>BJ30</f>
        <v>38131.422925058185</v>
      </c>
      <c r="N30" s="420">
        <f>BO30</f>
        <v>48291.089526088908</v>
      </c>
      <c r="O30" s="211">
        <f>SUM(K30:N30)</f>
        <v>136306.09079226479</v>
      </c>
      <c r="P30" s="420">
        <f>BU30</f>
        <v>60102.954782413537</v>
      </c>
      <c r="Q30" s="420">
        <f>BZ30</f>
        <v>74003.043919759846</v>
      </c>
      <c r="R30" s="420">
        <f>CE30</f>
        <v>90286.656655354644</v>
      </c>
      <c r="S30" s="420">
        <f>CJ30</f>
        <v>109301.18009264905</v>
      </c>
      <c r="T30" s="230">
        <f>SUM(P30:S30)</f>
        <v>333693.83545017708</v>
      </c>
      <c r="U30" s="232"/>
      <c r="V30" s="231">
        <f>SUM(((S18+V18)/2)*(V21+V22+V23+V24+V25+V26+V27+V28))</f>
        <v>1058492.6589569238</v>
      </c>
      <c r="W30" s="211">
        <f>SUM(((V18+W18)/2)*(W21+W22+W23+W24+W25+W26+W27+W28))</f>
        <v>2373015.4725794727</v>
      </c>
      <c r="X30" s="212">
        <f>SUM(((W18+X18)/2)*(X21+X22+X23+X24+X25+X26+X27+X28))</f>
        <v>3811131.7369817365</v>
      </c>
      <c r="Y30" s="232"/>
      <c r="Z30" s="579">
        <v>0</v>
      </c>
      <c r="AA30" s="618"/>
      <c r="AB30" s="535">
        <f>SUM(AB21:AB29)</f>
        <v>0</v>
      </c>
      <c r="AC30" s="420">
        <f>SUM(AC21:AC29)</f>
        <v>0</v>
      </c>
      <c r="AD30" s="420">
        <f>SUM(AD21:AD29)</f>
        <v>0</v>
      </c>
      <c r="AE30" s="211">
        <f>SUM(AB30:AD30)</f>
        <v>0</v>
      </c>
      <c r="AF30" s="212"/>
      <c r="AG30" s="535">
        <f>SUM(AG21:AG29)</f>
        <v>0</v>
      </c>
      <c r="AH30" s="420">
        <f>SUM(AH21:AH29)</f>
        <v>0</v>
      </c>
      <c r="AI30" s="420">
        <f>SUM(AI21:AI29)</f>
        <v>0</v>
      </c>
      <c r="AJ30" s="211">
        <f>SUM(AG30:AI30)</f>
        <v>0</v>
      </c>
      <c r="AK30" s="212"/>
      <c r="AL30" s="535">
        <f>SUM(AL21:AL29)</f>
        <v>1254.8428907725668</v>
      </c>
      <c r="AM30" s="420">
        <f>SUM(AM21:AM29)</f>
        <v>1495.5736103213012</v>
      </c>
      <c r="AN30" s="420">
        <f>SUM(AN21:AN29)</f>
        <v>1696.740127721908</v>
      </c>
      <c r="AO30" s="211">
        <f>SUM(AL30:AN30)</f>
        <v>4447.1566288157755</v>
      </c>
      <c r="AP30" s="212"/>
      <c r="AQ30" s="535">
        <f>SUM(AQ21:AQ29)</f>
        <v>4242.5553870761905</v>
      </c>
      <c r="AR30" s="420">
        <f>SUM(AR21:AR29)</f>
        <v>4595.8016711064392</v>
      </c>
      <c r="AS30" s="420">
        <f>SUM(AS21:AS29)</f>
        <v>4889.4845252579653</v>
      </c>
      <c r="AT30" s="211">
        <f>SUM(AQ30:AS30)</f>
        <v>13727.841583440595</v>
      </c>
      <c r="AU30" s="212"/>
      <c r="AV30" s="618"/>
      <c r="AW30" s="535">
        <f>SUM(AW21:AW29)</f>
        <v>6519.2826462887233</v>
      </c>
      <c r="AX30" s="420">
        <f>SUM(AX21:AX29)</f>
        <v>6973.0467309258966</v>
      </c>
      <c r="AY30" s="420">
        <f>SUM(AY21:AY29)</f>
        <v>7352.0681003869804</v>
      </c>
      <c r="AZ30" s="211">
        <f>SUM(AW30:AY30)</f>
        <v>20844.3974776016</v>
      </c>
      <c r="BA30" s="212"/>
      <c r="BB30" s="535">
        <f>SUM(BB21:BB29)</f>
        <v>9241.4655100531672</v>
      </c>
      <c r="BC30" s="420">
        <f>SUM(BC21:BC29)</f>
        <v>9704.7094984138312</v>
      </c>
      <c r="BD30" s="420">
        <f>SUM(BD21:BD29)</f>
        <v>10093.005855049116</v>
      </c>
      <c r="BE30" s="211">
        <f>SUM(BB30:BD30)</f>
        <v>29039.180863516114</v>
      </c>
      <c r="BF30" s="212"/>
      <c r="BG30" s="535">
        <f>SUM(BG21:BG29)</f>
        <v>12238.373550006867</v>
      </c>
      <c r="BH30" s="420">
        <f>SUM(BH21:BH29)</f>
        <v>12736.862211145371</v>
      </c>
      <c r="BI30" s="420">
        <f>SUM(BI21:BI29)</f>
        <v>13156.187163905946</v>
      </c>
      <c r="BJ30" s="211">
        <f>SUM(BG30:BI30)</f>
        <v>38131.422925058185</v>
      </c>
      <c r="BK30" s="212"/>
      <c r="BL30" s="535">
        <f>SUM(BL21:BL29)</f>
        <v>15569.478722201953</v>
      </c>
      <c r="BM30" s="420">
        <f>SUM(BM21:BM29)</f>
        <v>16125.926034322219</v>
      </c>
      <c r="BN30" s="420">
        <f>SUM(BN21:BN29)</f>
        <v>16595.684769564741</v>
      </c>
      <c r="BO30" s="211">
        <f>SUM(BL30:BN30)</f>
        <v>48291.089526088908</v>
      </c>
      <c r="BP30" s="212"/>
      <c r="BQ30" s="232"/>
      <c r="BR30" s="535">
        <f>SUM(BR21:BR29)</f>
        <v>19369.697225535616</v>
      </c>
      <c r="BS30" s="420">
        <f>SUM(BS21:BS29)</f>
        <v>20069.008781186669</v>
      </c>
      <c r="BT30" s="420">
        <f>SUM(BT21:BT29)</f>
        <v>20664.248775691252</v>
      </c>
      <c r="BU30" s="211">
        <f>SUM(BR30:BT30)</f>
        <v>60102.954782413537</v>
      </c>
      <c r="BV30" s="212"/>
      <c r="BW30" s="535">
        <f>SUM(BW21:BW29)</f>
        <v>23845.304723774614</v>
      </c>
      <c r="BX30" s="420">
        <f>SUM(BX21:BX29)</f>
        <v>24708.495354015315</v>
      </c>
      <c r="BY30" s="420">
        <f>SUM(BY21:BY29)</f>
        <v>25449.243841969921</v>
      </c>
      <c r="BZ30" s="211">
        <f>SUM(BW30:BY30)</f>
        <v>74003.043919759846</v>
      </c>
      <c r="CA30" s="212"/>
      <c r="CB30" s="535">
        <f>SUM(CB21:CB29)</f>
        <v>29090.005843796691</v>
      </c>
      <c r="CC30" s="420">
        <f>SUM(CC21:CC29)</f>
        <v>30142.88714554469</v>
      </c>
      <c r="CD30" s="420">
        <f>SUM(CD21:CD29)</f>
        <v>31053.763666013263</v>
      </c>
      <c r="CE30" s="211">
        <f>SUM(CB30:CD30)</f>
        <v>90286.656655354644</v>
      </c>
      <c r="CF30" s="212"/>
      <c r="CG30" s="535">
        <f>SUM(CG21:CG29)</f>
        <v>35214.438162736464</v>
      </c>
      <c r="CH30" s="420">
        <f>SUM(CH21:CH29)</f>
        <v>36488.019959941084</v>
      </c>
      <c r="CI30" s="420">
        <f>SUM(CI21:CI29)</f>
        <v>37598.721969971506</v>
      </c>
      <c r="CJ30" s="233">
        <f>SUM(CG30:CI30)</f>
        <v>109301.18009264905</v>
      </c>
      <c r="CK30" s="212"/>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row>
    <row r="31" spans="1:179" s="55" customFormat="1" ht="4.5" customHeight="1" x14ac:dyDescent="0.15">
      <c r="A31" s="189"/>
      <c r="B31" s="190"/>
      <c r="C31" s="191"/>
      <c r="D31" s="192"/>
      <c r="E31" s="193"/>
      <c r="F31" s="234"/>
      <c r="G31" s="196"/>
      <c r="H31" s="196"/>
      <c r="I31" s="196"/>
      <c r="J31" s="196"/>
      <c r="K31" s="196"/>
      <c r="L31" s="196"/>
      <c r="M31" s="196"/>
      <c r="N31" s="196"/>
      <c r="O31" s="196"/>
      <c r="P31" s="196"/>
      <c r="Q31" s="196"/>
      <c r="R31" s="196"/>
      <c r="S31" s="196"/>
      <c r="T31" s="197"/>
      <c r="U31" s="235"/>
      <c r="V31" s="192"/>
      <c r="W31" s="196"/>
      <c r="X31" s="193"/>
      <c r="Y31" s="235"/>
      <c r="Z31" s="580"/>
      <c r="AA31" s="189"/>
      <c r="AB31" s="192"/>
      <c r="AC31" s="196"/>
      <c r="AD31" s="196"/>
      <c r="AE31" s="196"/>
      <c r="AF31" s="193"/>
      <c r="AG31" s="192"/>
      <c r="AH31" s="196"/>
      <c r="AI31" s="196"/>
      <c r="AJ31" s="196"/>
      <c r="AK31" s="193"/>
      <c r="AL31" s="192"/>
      <c r="AM31" s="196"/>
      <c r="AN31" s="196"/>
      <c r="AO31" s="196"/>
      <c r="AP31" s="193"/>
      <c r="AQ31" s="192"/>
      <c r="AR31" s="196"/>
      <c r="AS31" s="196"/>
      <c r="AT31" s="196"/>
      <c r="AU31" s="193"/>
      <c r="AV31" s="189"/>
      <c r="AW31" s="192"/>
      <c r="AX31" s="196"/>
      <c r="AY31" s="196"/>
      <c r="AZ31" s="196"/>
      <c r="BA31" s="193"/>
      <c r="BB31" s="192"/>
      <c r="BC31" s="196"/>
      <c r="BD31" s="196"/>
      <c r="BE31" s="196"/>
      <c r="BF31" s="193"/>
      <c r="BG31" s="192"/>
      <c r="BH31" s="196"/>
      <c r="BI31" s="196"/>
      <c r="BJ31" s="196"/>
      <c r="BK31" s="193"/>
      <c r="BL31" s="192"/>
      <c r="BM31" s="196"/>
      <c r="BN31" s="196"/>
      <c r="BO31" s="196"/>
      <c r="BP31" s="193"/>
      <c r="BQ31" s="235"/>
      <c r="BR31" s="192"/>
      <c r="BS31" s="196"/>
      <c r="BT31" s="196"/>
      <c r="BU31" s="196"/>
      <c r="BV31" s="193"/>
      <c r="BW31" s="192"/>
      <c r="BX31" s="196"/>
      <c r="BY31" s="196"/>
      <c r="BZ31" s="196"/>
      <c r="CA31" s="193"/>
      <c r="CB31" s="192"/>
      <c r="CC31" s="196"/>
      <c r="CD31" s="196"/>
      <c r="CE31" s="196"/>
      <c r="CF31" s="193"/>
      <c r="CG31" s="192"/>
      <c r="CH31" s="196"/>
      <c r="CI31" s="196"/>
      <c r="CJ31" s="196"/>
      <c r="CK31" s="193"/>
    </row>
    <row r="32" spans="1:179" s="57" customFormat="1" ht="9.75" customHeight="1" x14ac:dyDescent="0.15">
      <c r="A32" s="486" t="s">
        <v>220</v>
      </c>
      <c r="B32" s="125"/>
      <c r="C32" s="202"/>
      <c r="D32" s="630"/>
      <c r="E32" s="631"/>
      <c r="F32" s="489"/>
      <c r="G32" s="490"/>
      <c r="H32" s="490"/>
      <c r="I32" s="490"/>
      <c r="J32" s="210"/>
      <c r="K32" s="490"/>
      <c r="L32" s="490"/>
      <c r="M32" s="490"/>
      <c r="N32" s="490"/>
      <c r="O32" s="210"/>
      <c r="P32" s="490"/>
      <c r="Q32" s="490"/>
      <c r="R32" s="490"/>
      <c r="S32" s="490"/>
      <c r="T32" s="236"/>
      <c r="U32" s="232"/>
      <c r="V32" s="237"/>
      <c r="W32" s="210"/>
      <c r="X32" s="238"/>
      <c r="Y32" s="232"/>
      <c r="Z32" s="577"/>
      <c r="AA32" s="618"/>
      <c r="AB32" s="594"/>
      <c r="AC32" s="490"/>
      <c r="AD32" s="490"/>
      <c r="AE32" s="490"/>
      <c r="AF32" s="212"/>
      <c r="AG32" s="594"/>
      <c r="AH32" s="490"/>
      <c r="AI32" s="490"/>
      <c r="AJ32" s="490"/>
      <c r="AK32" s="212"/>
      <c r="AL32" s="594"/>
      <c r="AM32" s="490"/>
      <c r="AN32" s="490"/>
      <c r="AO32" s="490"/>
      <c r="AP32" s="212"/>
      <c r="AQ32" s="594"/>
      <c r="AR32" s="490"/>
      <c r="AS32" s="490"/>
      <c r="AT32" s="490"/>
      <c r="AU32" s="212"/>
      <c r="AV32" s="618"/>
      <c r="AW32" s="594"/>
      <c r="AX32" s="490"/>
      <c r="AY32" s="490"/>
      <c r="AZ32" s="490"/>
      <c r="BA32" s="212"/>
      <c r="BB32" s="594"/>
      <c r="BC32" s="490"/>
      <c r="BD32" s="490"/>
      <c r="BE32" s="490"/>
      <c r="BF32" s="212"/>
      <c r="BG32" s="594"/>
      <c r="BH32" s="490"/>
      <c r="BI32" s="490"/>
      <c r="BJ32" s="490"/>
      <c r="BK32" s="212"/>
      <c r="BL32" s="594"/>
      <c r="BM32" s="490"/>
      <c r="BN32" s="490"/>
      <c r="BO32" s="490"/>
      <c r="BP32" s="212"/>
      <c r="BQ32" s="232"/>
      <c r="BR32" s="594"/>
      <c r="BS32" s="490"/>
      <c r="BT32" s="490"/>
      <c r="BU32" s="490"/>
      <c r="BV32" s="212"/>
      <c r="BW32" s="594"/>
      <c r="BX32" s="490"/>
      <c r="BY32" s="490"/>
      <c r="BZ32" s="490"/>
      <c r="CA32" s="212"/>
      <c r="CB32" s="594"/>
      <c r="CC32" s="490"/>
      <c r="CD32" s="490"/>
      <c r="CE32" s="490"/>
      <c r="CF32" s="212"/>
      <c r="CG32" s="594"/>
      <c r="CH32" s="490"/>
      <c r="CI32" s="490"/>
      <c r="CJ32" s="490"/>
      <c r="CK32" s="212"/>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row>
    <row r="33" spans="1:179" s="57" customFormat="1" ht="9.75" customHeight="1" x14ac:dyDescent="0.15">
      <c r="A33" s="488" t="s">
        <v>153</v>
      </c>
      <c r="B33" s="239">
        <v>0</v>
      </c>
      <c r="C33" s="285">
        <v>0.02</v>
      </c>
      <c r="D33" s="228"/>
      <c r="E33" s="624"/>
      <c r="F33" s="649">
        <v>800</v>
      </c>
      <c r="G33" s="648">
        <v>800</v>
      </c>
      <c r="H33" s="648">
        <f>SUM((IF(ISBLANK(D33),B33,D33))+(H34*(IF(ISBLANK(E33),C33,E33))))</f>
        <v>100</v>
      </c>
      <c r="I33" s="492">
        <f>SUM((IF(ISBLANK(D33),B33,D33))+(I34*(IF(ISBLANK(E33),C33,E33))))</f>
        <v>100</v>
      </c>
      <c r="J33" s="217">
        <f>SUM(AC33+AH33+AM33+AR33)</f>
        <v>1800</v>
      </c>
      <c r="K33" s="492">
        <f>SUM((IF(ISBLANK(D33),B33,D33))+(K34*(IF(ISBLANK(E33),C33,E33))))</f>
        <v>100</v>
      </c>
      <c r="L33" s="492">
        <f>SUM((IF(ISBLANK(D33),B33,D33))+(L34*(IF(ISBLANK(E33),C33,E33))))</f>
        <v>100</v>
      </c>
      <c r="M33" s="492">
        <f>SUM((IF(ISBLANK(D33),B33,D33))+(M34*(IF(ISBLANK(E33),C33,E33))))</f>
        <v>100</v>
      </c>
      <c r="N33" s="492">
        <f>SUM((IF(ISBLANK(D33),B33,D33))+(N34*(IF(ISBLANK(E33),C33,E33))))</f>
        <v>100</v>
      </c>
      <c r="O33" s="217">
        <f>SUM(AW33+BB33+BG33+BL33)</f>
        <v>400</v>
      </c>
      <c r="P33" s="492">
        <f>SUM((IF(ISBLANK(D33),B33,D33))+(P34*(IF(ISBLANK(E33),C33,E33))))</f>
        <v>140</v>
      </c>
      <c r="Q33" s="492">
        <f>SUM((IF(ISBLANK(D33),B33,D33))+(Q34*(IF(ISBLANK(E33),C33,E33))))</f>
        <v>200</v>
      </c>
      <c r="R33" s="492">
        <f>SUM((IF(ISBLANK(D33),B33,D33))+(R34*(IF(ISBLANK(E33),C33,E33))))</f>
        <v>300</v>
      </c>
      <c r="S33" s="492">
        <f>SUM((IF(ISBLANK(D33),B33,D33))+(S34*(IF(ISBLANK(E33),C33,E33))))</f>
        <v>400</v>
      </c>
      <c r="T33" s="218">
        <f>SUM(BU33+BZ33+CE33+CJ33)</f>
        <v>3120</v>
      </c>
      <c r="U33" s="221"/>
      <c r="V33" s="239">
        <f>SUM((IF(ISBLANK(D33),B33,D33))+(V34*(IF(ISBLANK(E33),C33,E33))))</f>
        <v>4800</v>
      </c>
      <c r="W33" s="217">
        <f>SUM((IF(ISBLANK(D33),B33,D33))+(W34*(IF(ISBLANK(E33),C33,E33))))</f>
        <v>4800</v>
      </c>
      <c r="X33" s="242">
        <f>SUM((IF(ISBLANK(D33),B33,D33))+(X34*(IF(ISBLANK(E33),C33,E33))))</f>
        <v>4800</v>
      </c>
      <c r="Y33" s="221"/>
      <c r="Z33" s="578">
        <f>SUM(11102+10095+8000)</f>
        <v>29197</v>
      </c>
      <c r="AA33" s="617"/>
      <c r="AB33" s="532">
        <f>F33</f>
        <v>800</v>
      </c>
      <c r="AC33" s="492">
        <f>F33</f>
        <v>800</v>
      </c>
      <c r="AD33" s="492">
        <f>F33</f>
        <v>800</v>
      </c>
      <c r="AE33" s="492">
        <f t="shared" ref="AE33:AE43" si="98">SUM(AB33:AD33)</f>
        <v>2400</v>
      </c>
      <c r="AF33" s="222"/>
      <c r="AG33" s="532">
        <f>G33</f>
        <v>800</v>
      </c>
      <c r="AH33" s="492">
        <f>G33</f>
        <v>800</v>
      </c>
      <c r="AI33" s="492">
        <f>G33</f>
        <v>800</v>
      </c>
      <c r="AJ33" s="492">
        <f t="shared" ref="AJ33:AJ46" si="99">SUM(AG33:AI33)</f>
        <v>2400</v>
      </c>
      <c r="AK33" s="222"/>
      <c r="AL33" s="532">
        <f>H33</f>
        <v>100</v>
      </c>
      <c r="AM33" s="492">
        <f>H33</f>
        <v>100</v>
      </c>
      <c r="AN33" s="492">
        <f>H33</f>
        <v>100</v>
      </c>
      <c r="AO33" s="492">
        <f t="shared" ref="AO33:AO43" si="100">SUM(AL33:AN33)</f>
        <v>300</v>
      </c>
      <c r="AP33" s="222"/>
      <c r="AQ33" s="532">
        <f>I33</f>
        <v>100</v>
      </c>
      <c r="AR33" s="492">
        <f>I33</f>
        <v>100</v>
      </c>
      <c r="AS33" s="492">
        <f>I33</f>
        <v>100</v>
      </c>
      <c r="AT33" s="492">
        <f t="shared" ref="AT33:AT43" si="101">SUM(AQ33:AS33)</f>
        <v>300</v>
      </c>
      <c r="AU33" s="222"/>
      <c r="AV33" s="617"/>
      <c r="AW33" s="532">
        <f>K33</f>
        <v>100</v>
      </c>
      <c r="AX33" s="492">
        <f>K33</f>
        <v>100</v>
      </c>
      <c r="AY33" s="492">
        <f>K33</f>
        <v>100</v>
      </c>
      <c r="AZ33" s="492">
        <f t="shared" ref="AZ33:AZ43" si="102">SUM(AW33:AY33)</f>
        <v>300</v>
      </c>
      <c r="BA33" s="222"/>
      <c r="BB33" s="532">
        <f>L33</f>
        <v>100</v>
      </c>
      <c r="BC33" s="492">
        <f>L33</f>
        <v>100</v>
      </c>
      <c r="BD33" s="492">
        <f>L33</f>
        <v>100</v>
      </c>
      <c r="BE33" s="492">
        <f t="shared" ref="BE33:BE43" si="103">SUM(BB33:BD33)</f>
        <v>300</v>
      </c>
      <c r="BF33" s="222"/>
      <c r="BG33" s="532">
        <f>M33</f>
        <v>100</v>
      </c>
      <c r="BH33" s="492">
        <f>M33</f>
        <v>100</v>
      </c>
      <c r="BI33" s="492">
        <f>M33</f>
        <v>100</v>
      </c>
      <c r="BJ33" s="492">
        <f t="shared" ref="BJ33:BJ43" si="104">SUM(BG33:BI33)</f>
        <v>300</v>
      </c>
      <c r="BK33" s="222"/>
      <c r="BL33" s="532">
        <f>N33</f>
        <v>100</v>
      </c>
      <c r="BM33" s="492">
        <f>N33</f>
        <v>100</v>
      </c>
      <c r="BN33" s="492">
        <f>N33</f>
        <v>100</v>
      </c>
      <c r="BO33" s="492">
        <f t="shared" ref="BO33:BO43" si="105">SUM(BL33:BN33)</f>
        <v>300</v>
      </c>
      <c r="BP33" s="222"/>
      <c r="BQ33" s="221"/>
      <c r="BR33" s="532">
        <f>P33</f>
        <v>140</v>
      </c>
      <c r="BS33" s="492">
        <f>P33</f>
        <v>140</v>
      </c>
      <c r="BT33" s="492">
        <f>P33</f>
        <v>140</v>
      </c>
      <c r="BU33" s="492">
        <f t="shared" ref="BU33:BU43" si="106">SUM(BR33:BT33)</f>
        <v>420</v>
      </c>
      <c r="BV33" s="222"/>
      <c r="BW33" s="532">
        <f>Q33</f>
        <v>200</v>
      </c>
      <c r="BX33" s="492">
        <f>Q33</f>
        <v>200</v>
      </c>
      <c r="BY33" s="492">
        <f>Q33</f>
        <v>200</v>
      </c>
      <c r="BZ33" s="492">
        <f t="shared" ref="BZ33:BZ43" si="107">SUM(BW33:BY33)</f>
        <v>600</v>
      </c>
      <c r="CA33" s="222"/>
      <c r="CB33" s="532">
        <f>R33</f>
        <v>300</v>
      </c>
      <c r="CC33" s="492">
        <f>R33</f>
        <v>300</v>
      </c>
      <c r="CD33" s="492">
        <f>R33</f>
        <v>300</v>
      </c>
      <c r="CE33" s="492">
        <f t="shared" ref="CE33:CE43" si="108">SUM(CB33:CD33)</f>
        <v>900</v>
      </c>
      <c r="CF33" s="222"/>
      <c r="CG33" s="532">
        <f>S33</f>
        <v>400</v>
      </c>
      <c r="CH33" s="492">
        <f>S33</f>
        <v>400</v>
      </c>
      <c r="CI33" s="492">
        <f>S33</f>
        <v>400</v>
      </c>
      <c r="CJ33" s="492">
        <f t="shared" ref="CJ33:CJ43" si="109">SUM(CG33:CI33)</f>
        <v>1200</v>
      </c>
      <c r="CK33" s="222"/>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row>
    <row r="34" spans="1:179" s="57" customFormat="1" ht="9.75" customHeight="1" x14ac:dyDescent="0.15">
      <c r="A34" s="488" t="s">
        <v>154</v>
      </c>
      <c r="B34" s="167">
        <v>0</v>
      </c>
      <c r="C34" s="285">
        <v>0</v>
      </c>
      <c r="D34" s="291"/>
      <c r="E34" s="624"/>
      <c r="F34" s="226">
        <v>20000</v>
      </c>
      <c r="G34" s="227">
        <v>20000</v>
      </c>
      <c r="H34" s="648">
        <v>5000</v>
      </c>
      <c r="I34" s="648">
        <f>SUM(IF(ISBLANK(D34),      (IF((1*(IF(ISBLANK(E34),C34,E34)) + B34) &lt; 0,     0,     (1*(IF(ISBLANK(E34),C34,E34)) + B34)   )),       (IF((1*(IF(ISBLANK(E34),C34,E34)) + D34) &lt; 0,     0,     (1*(IF(ISBLANK(E34),C34,E34)) + D34)   ))  )       *   (I30/3)+(H34))</f>
        <v>5000</v>
      </c>
      <c r="J34" s="217">
        <f t="shared" ref="J34:J45" si="110">SUM(AE34+AJ34+AO34+AT34)</f>
        <v>150000</v>
      </c>
      <c r="K34" s="648">
        <f>SUM(IF(ISBLANK(D34),      (IF((2*(IF(ISBLANK(E34),C34,E34)) + B34) &lt; 0,     0,     (2*(IF(ISBLANK(E34),C34,E34)) + B34)   )),       (IF((2*(IF(ISBLANK(E34),C34,E34)) + D34) &lt; 0,     0,     (2*(IF(ISBLANK(E34),C34,E34)) + D34)   ))  )       *   (K30/3)+(I34))</f>
        <v>5000</v>
      </c>
      <c r="L34" s="648">
        <f>SUM(IF(ISBLANK(D34),      (IF((3*(IF(ISBLANK(E34),C34,E34)) + B34) &lt; 0,     0,     (3*(IF(ISBLANK(E34),C34,E34)) + B34)   )),       (IF((3*(IF(ISBLANK(E34),C34,E34)) + D34) &lt; 0,     0,     (3*(IF(ISBLANK(E34),C34,E34)) + D34)   ))  )       *   (L30/3)+(K34))</f>
        <v>5000</v>
      </c>
      <c r="M34" s="648">
        <f>SUM(IF(ISBLANK(D34),      (IF((4*(IF(ISBLANK(E34),C34,E34)) + B34) &lt; 0,     0,     (4*(IF(ISBLANK(E34),C34,E34)) + B34)   )),       (IF((4*(IF(ISBLANK(E34),C34,E34)) + D34) &lt; 0,     0,     (4*(IF(ISBLANK(E34),C34,E34)) + D34)   ))  )       *   (M30/3)+(L34))</f>
        <v>5000</v>
      </c>
      <c r="N34" s="648">
        <f>SUM(IF(ISBLANK(D34),      (IF((5*(IF(ISBLANK(E34),C34,E34)) + B34) &lt; 0,     0,     (5*(IF(ISBLANK(E34),C34,E34)) + B34)   )),       (IF((5*(IF(ISBLANK(E34),C34,E34)) + D34) &lt; 0,     0,     (5*(IF(ISBLANK(E34),C34,E34)) + D34)   ))  )       *   (N30/3)+(M34))</f>
        <v>5000</v>
      </c>
      <c r="O34" s="217">
        <f t="shared" ref="O34:O45" si="111">SUM(AZ34+BE34+BJ34+BO34)</f>
        <v>60000</v>
      </c>
      <c r="P34" s="648">
        <v>7000</v>
      </c>
      <c r="Q34" s="648">
        <v>10000</v>
      </c>
      <c r="R34" s="648">
        <v>15000</v>
      </c>
      <c r="S34" s="648">
        <v>20000</v>
      </c>
      <c r="T34" s="218">
        <f t="shared" ref="T34:T45" si="112">SUM(BU34+BZ34+CE34+CJ34)</f>
        <v>156000</v>
      </c>
      <c r="U34" s="221"/>
      <c r="V34" s="239">
        <f>SUM(IF(ISBLANK(D34),      (IF((10*(IF(ISBLANK(E34),C34,E34)) + B34) &lt; 0,     0,     (10*(IF(ISBLANK(E34),C34,E34)) + B34)   )),       (IF((10*(IF(ISBLANK(E34),C34,E34)) + D34) &lt; 0,     0,     (10*(IF(ISBLANK(E34),C34,E34)) + D34)   ))  )       *   (V30/3)+(S34))*12</f>
        <v>240000</v>
      </c>
      <c r="W34" s="217">
        <f>SUM(IF(ISBLANK(D34),      (IF((11*(IF(ISBLANK(E34),C34,E34)) + B34) &lt; 0,     0,     (11*(IF(ISBLANK(E34),C34,E34)) + B34)   )),       (IF((11*(IF(ISBLANK(E34),C34,E34)) + D34) &lt; 0,     0,     (11*(IF(ISBLANK(E34),C34,E34)) + D34)   ))  )       *   (W30/12)+(V34/12))*12</f>
        <v>240000</v>
      </c>
      <c r="X34" s="242">
        <f>SUM(IF(ISBLANK(D34),      (IF((12*(IF(ISBLANK(E34),C34,E34)) + B34) &lt; 0,     0,     (12*(IF(ISBLANK(E34),C34,E34)) + B34)   )),       (IF((12*(IF(ISBLANK(E34),C34,E34)) + D34) &lt; 0,     0,     (12*(IF(ISBLANK(E34),C34,E34)) + D34)   ))  )       *   (X30/12)+(W34/12))*12</f>
        <v>240000</v>
      </c>
      <c r="Y34" s="221"/>
      <c r="Z34" s="578">
        <f>SUM(30664+342396+71683+36198+34170+34090+28752+50203+25449+25629+23773+25295+25295+20000)</f>
        <v>773597</v>
      </c>
      <c r="AA34" s="617"/>
      <c r="AB34" s="532">
        <f t="shared" ref="AB34:AB46" si="113">F34</f>
        <v>20000</v>
      </c>
      <c r="AC34" s="492">
        <f t="shared" ref="AC34:AC46" si="114">F34</f>
        <v>20000</v>
      </c>
      <c r="AD34" s="492">
        <f t="shared" ref="AD34:AD46" si="115">F34</f>
        <v>20000</v>
      </c>
      <c r="AE34" s="492">
        <f t="shared" si="98"/>
        <v>60000</v>
      </c>
      <c r="AF34" s="222"/>
      <c r="AG34" s="532">
        <f t="shared" ref="AG34:AG46" si="116">G34</f>
        <v>20000</v>
      </c>
      <c r="AH34" s="492">
        <f t="shared" ref="AH34:AH46" si="117">G34</f>
        <v>20000</v>
      </c>
      <c r="AI34" s="492">
        <f t="shared" ref="AI34:AI46" si="118">G34</f>
        <v>20000</v>
      </c>
      <c r="AJ34" s="492">
        <f t="shared" si="99"/>
        <v>60000</v>
      </c>
      <c r="AK34" s="222"/>
      <c r="AL34" s="532">
        <f t="shared" ref="AL34:AL46" si="119">H34</f>
        <v>5000</v>
      </c>
      <c r="AM34" s="492">
        <f t="shared" ref="AM34:AM46" si="120">H34</f>
        <v>5000</v>
      </c>
      <c r="AN34" s="492">
        <f t="shared" ref="AN34:AN46" si="121">H34</f>
        <v>5000</v>
      </c>
      <c r="AO34" s="492">
        <f t="shared" si="100"/>
        <v>15000</v>
      </c>
      <c r="AP34" s="222"/>
      <c r="AQ34" s="532">
        <f t="shared" ref="AQ34:AQ46" si="122">I34</f>
        <v>5000</v>
      </c>
      <c r="AR34" s="492">
        <f t="shared" ref="AR34:AR46" si="123">I34</f>
        <v>5000</v>
      </c>
      <c r="AS34" s="492">
        <f t="shared" ref="AS34:AS46" si="124">I34</f>
        <v>5000</v>
      </c>
      <c r="AT34" s="492">
        <f t="shared" si="101"/>
        <v>15000</v>
      </c>
      <c r="AU34" s="222"/>
      <c r="AV34" s="617"/>
      <c r="AW34" s="532">
        <f t="shared" ref="AW34:AW46" si="125">K34</f>
        <v>5000</v>
      </c>
      <c r="AX34" s="492">
        <f t="shared" ref="AX34:AX46" si="126">K34</f>
        <v>5000</v>
      </c>
      <c r="AY34" s="492">
        <f t="shared" ref="AY34:AY46" si="127">K34</f>
        <v>5000</v>
      </c>
      <c r="AZ34" s="492">
        <f t="shared" si="102"/>
        <v>15000</v>
      </c>
      <c r="BA34" s="222"/>
      <c r="BB34" s="532">
        <f t="shared" ref="BB34:BB46" si="128">L34</f>
        <v>5000</v>
      </c>
      <c r="BC34" s="492">
        <f t="shared" ref="BC34:BC46" si="129">L34</f>
        <v>5000</v>
      </c>
      <c r="BD34" s="492">
        <f t="shared" ref="BD34:BD46" si="130">L34</f>
        <v>5000</v>
      </c>
      <c r="BE34" s="492">
        <f t="shared" si="103"/>
        <v>15000</v>
      </c>
      <c r="BF34" s="222"/>
      <c r="BG34" s="532">
        <f t="shared" ref="BG34:BG46" si="131">M34</f>
        <v>5000</v>
      </c>
      <c r="BH34" s="492">
        <f t="shared" ref="BH34:BH46" si="132">M34</f>
        <v>5000</v>
      </c>
      <c r="BI34" s="492">
        <f t="shared" ref="BI34:BI46" si="133">M34</f>
        <v>5000</v>
      </c>
      <c r="BJ34" s="492">
        <f t="shared" si="104"/>
        <v>15000</v>
      </c>
      <c r="BK34" s="222"/>
      <c r="BL34" s="532">
        <f t="shared" ref="BL34:BL46" si="134">N34</f>
        <v>5000</v>
      </c>
      <c r="BM34" s="492">
        <f t="shared" ref="BM34:BM46" si="135">N34</f>
        <v>5000</v>
      </c>
      <c r="BN34" s="492">
        <f t="shared" ref="BN34:BN46" si="136">N34</f>
        <v>5000</v>
      </c>
      <c r="BO34" s="492">
        <f t="shared" si="105"/>
        <v>15000</v>
      </c>
      <c r="BP34" s="222"/>
      <c r="BQ34" s="221"/>
      <c r="BR34" s="532">
        <f t="shared" ref="BR34:BR46" si="137">P34</f>
        <v>7000</v>
      </c>
      <c r="BS34" s="492">
        <f t="shared" ref="BS34:BS43" si="138">P34</f>
        <v>7000</v>
      </c>
      <c r="BT34" s="492">
        <f t="shared" ref="BT34:BT46" si="139">P34</f>
        <v>7000</v>
      </c>
      <c r="BU34" s="492">
        <f t="shared" si="106"/>
        <v>21000</v>
      </c>
      <c r="BV34" s="222"/>
      <c r="BW34" s="532">
        <f t="shared" ref="BW34:BW46" si="140">Q34</f>
        <v>10000</v>
      </c>
      <c r="BX34" s="492">
        <f t="shared" ref="BX34:BX46" si="141">Q34</f>
        <v>10000</v>
      </c>
      <c r="BY34" s="492">
        <f t="shared" ref="BY34:BY46" si="142">Q34</f>
        <v>10000</v>
      </c>
      <c r="BZ34" s="492">
        <f t="shared" si="107"/>
        <v>30000</v>
      </c>
      <c r="CA34" s="222"/>
      <c r="CB34" s="532">
        <f t="shared" ref="CB34:CB46" si="143">R34</f>
        <v>15000</v>
      </c>
      <c r="CC34" s="492">
        <f t="shared" ref="CC34:CC46" si="144">R34</f>
        <v>15000</v>
      </c>
      <c r="CD34" s="492">
        <f t="shared" ref="CD34:CD46" si="145">R34</f>
        <v>15000</v>
      </c>
      <c r="CE34" s="492">
        <f t="shared" si="108"/>
        <v>45000</v>
      </c>
      <c r="CF34" s="222"/>
      <c r="CG34" s="532">
        <f t="shared" ref="CG34:CG46" si="146">S34</f>
        <v>20000</v>
      </c>
      <c r="CH34" s="492">
        <f t="shared" ref="CH34:CH46" si="147">S34</f>
        <v>20000</v>
      </c>
      <c r="CI34" s="492">
        <f t="shared" ref="CI34:CI46" si="148">S34</f>
        <v>20000</v>
      </c>
      <c r="CJ34" s="492">
        <f t="shared" si="109"/>
        <v>60000</v>
      </c>
      <c r="CK34" s="222"/>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row>
    <row r="35" spans="1:179" s="57" customFormat="1" ht="9.75" customHeight="1" x14ac:dyDescent="0.15">
      <c r="A35" s="488" t="s">
        <v>155</v>
      </c>
      <c r="B35" s="239">
        <v>0</v>
      </c>
      <c r="C35" s="126">
        <v>0.01</v>
      </c>
      <c r="D35" s="228"/>
      <c r="E35" s="624"/>
      <c r="F35" s="491">
        <f>SUM((IF(ISBLANK(D35),B35,D35))+(F34*(IF(ISBLANK(E35),C35,E35))))</f>
        <v>200</v>
      </c>
      <c r="G35" s="492">
        <f>SUM((IF(ISBLANK(D35),B35,D35))+(G34*(IF(ISBLANK(E35),C35,E35))))</f>
        <v>200</v>
      </c>
      <c r="H35" s="492">
        <f>SUM((IF(ISBLANK(D35),B35,D35))+(H34*(IF(ISBLANK(E35),C35,E35))))</f>
        <v>50</v>
      </c>
      <c r="I35" s="492">
        <f>SUM((IF(ISBLANK(D35),B35,D35))+(I34*(IF(ISBLANK(E35),C35,E35))))</f>
        <v>50</v>
      </c>
      <c r="J35" s="217">
        <f t="shared" si="110"/>
        <v>1500</v>
      </c>
      <c r="K35" s="492">
        <f>SUM((IF(ISBLANK(D35),B35,D35))+(K34*(IF(ISBLANK(E35),C35,E35))))</f>
        <v>50</v>
      </c>
      <c r="L35" s="492">
        <f>SUM((IF(ISBLANK(D35),B35,D35))+(L34*(IF(ISBLANK(E35),C35,E35))))</f>
        <v>50</v>
      </c>
      <c r="M35" s="492">
        <f>SUM((IF(ISBLANK(D35),B35,D35))+(M34*(IF(ISBLANK(E35),C35,E35))))</f>
        <v>50</v>
      </c>
      <c r="N35" s="492">
        <f>SUM((IF(ISBLANK(D35),B35,D35))+(N34*(IF(ISBLANK(E35),C35,E35))))</f>
        <v>50</v>
      </c>
      <c r="O35" s="217">
        <f t="shared" si="111"/>
        <v>600</v>
      </c>
      <c r="P35" s="492">
        <f>SUM((IF(ISBLANK(D35),B35,D35))+(P34*(IF(ISBLANK(E35),C35,E35))))</f>
        <v>70</v>
      </c>
      <c r="Q35" s="492">
        <f>SUM((IF(ISBLANK(D35),B35,D35))+(Q34*(IF(ISBLANK(E35),C35,E35))))</f>
        <v>100</v>
      </c>
      <c r="R35" s="492">
        <f>SUM((IF(ISBLANK(D35),B35,D35))+(R34*(IF(ISBLANK(E35),C35,E35))))</f>
        <v>150</v>
      </c>
      <c r="S35" s="492">
        <f>SUM((IF(ISBLANK(D35),B35,D35))+(S34*(IF(ISBLANK(E35),C35,E35))))</f>
        <v>200</v>
      </c>
      <c r="T35" s="218">
        <f t="shared" si="112"/>
        <v>1560</v>
      </c>
      <c r="U35" s="221"/>
      <c r="V35" s="239">
        <f>SUM((IF(ISBLANK(D35),B35,D35))+(V34*(IF(ISBLANK(E35),C35,E35))))</f>
        <v>2400</v>
      </c>
      <c r="W35" s="217">
        <f>SUM((IF(ISBLANK(D35),B35,D35))+(W34*(IF(ISBLANK(E35),C35,E35))))</f>
        <v>2400</v>
      </c>
      <c r="X35" s="242">
        <f>SUM((IF(ISBLANK(D35),B35,D35))+(X34*(IF(ISBLANK(E35),C35,E35))))</f>
        <v>2400</v>
      </c>
      <c r="Y35" s="221"/>
      <c r="Z35" s="578">
        <v>4000</v>
      </c>
      <c r="AA35" s="617"/>
      <c r="AB35" s="532">
        <f t="shared" si="113"/>
        <v>200</v>
      </c>
      <c r="AC35" s="492">
        <f t="shared" si="114"/>
        <v>200</v>
      </c>
      <c r="AD35" s="492">
        <f t="shared" si="115"/>
        <v>200</v>
      </c>
      <c r="AE35" s="492">
        <f t="shared" si="98"/>
        <v>600</v>
      </c>
      <c r="AF35" s="222"/>
      <c r="AG35" s="532">
        <f t="shared" si="116"/>
        <v>200</v>
      </c>
      <c r="AH35" s="492">
        <f t="shared" si="117"/>
        <v>200</v>
      </c>
      <c r="AI35" s="492">
        <f t="shared" si="118"/>
        <v>200</v>
      </c>
      <c r="AJ35" s="492">
        <f t="shared" si="99"/>
        <v>600</v>
      </c>
      <c r="AK35" s="222"/>
      <c r="AL35" s="532">
        <f t="shared" si="119"/>
        <v>50</v>
      </c>
      <c r="AM35" s="492">
        <f t="shared" si="120"/>
        <v>50</v>
      </c>
      <c r="AN35" s="492">
        <f t="shared" si="121"/>
        <v>50</v>
      </c>
      <c r="AO35" s="492">
        <f t="shared" si="100"/>
        <v>150</v>
      </c>
      <c r="AP35" s="222"/>
      <c r="AQ35" s="532">
        <f t="shared" si="122"/>
        <v>50</v>
      </c>
      <c r="AR35" s="492">
        <f t="shared" si="123"/>
        <v>50</v>
      </c>
      <c r="AS35" s="492">
        <f t="shared" si="124"/>
        <v>50</v>
      </c>
      <c r="AT35" s="492">
        <f t="shared" si="101"/>
        <v>150</v>
      </c>
      <c r="AU35" s="222"/>
      <c r="AV35" s="617"/>
      <c r="AW35" s="532">
        <f t="shared" si="125"/>
        <v>50</v>
      </c>
      <c r="AX35" s="492">
        <f t="shared" si="126"/>
        <v>50</v>
      </c>
      <c r="AY35" s="492">
        <f t="shared" si="127"/>
        <v>50</v>
      </c>
      <c r="AZ35" s="492">
        <f t="shared" si="102"/>
        <v>150</v>
      </c>
      <c r="BA35" s="222"/>
      <c r="BB35" s="532">
        <f t="shared" si="128"/>
        <v>50</v>
      </c>
      <c r="BC35" s="492">
        <f t="shared" si="129"/>
        <v>50</v>
      </c>
      <c r="BD35" s="492">
        <f t="shared" si="130"/>
        <v>50</v>
      </c>
      <c r="BE35" s="492">
        <f t="shared" si="103"/>
        <v>150</v>
      </c>
      <c r="BF35" s="222"/>
      <c r="BG35" s="532">
        <f t="shared" si="131"/>
        <v>50</v>
      </c>
      <c r="BH35" s="492">
        <f t="shared" si="132"/>
        <v>50</v>
      </c>
      <c r="BI35" s="492">
        <f t="shared" si="133"/>
        <v>50</v>
      </c>
      <c r="BJ35" s="492">
        <f t="shared" si="104"/>
        <v>150</v>
      </c>
      <c r="BK35" s="222"/>
      <c r="BL35" s="532">
        <f t="shared" si="134"/>
        <v>50</v>
      </c>
      <c r="BM35" s="492">
        <f t="shared" si="135"/>
        <v>50</v>
      </c>
      <c r="BN35" s="492">
        <f t="shared" si="136"/>
        <v>50</v>
      </c>
      <c r="BO35" s="492">
        <f t="shared" si="105"/>
        <v>150</v>
      </c>
      <c r="BP35" s="222"/>
      <c r="BQ35" s="221"/>
      <c r="BR35" s="532">
        <f t="shared" si="137"/>
        <v>70</v>
      </c>
      <c r="BS35" s="492">
        <f t="shared" si="138"/>
        <v>70</v>
      </c>
      <c r="BT35" s="492">
        <f t="shared" si="139"/>
        <v>70</v>
      </c>
      <c r="BU35" s="492">
        <f t="shared" si="106"/>
        <v>210</v>
      </c>
      <c r="BV35" s="222"/>
      <c r="BW35" s="532">
        <f t="shared" si="140"/>
        <v>100</v>
      </c>
      <c r="BX35" s="492">
        <f t="shared" si="141"/>
        <v>100</v>
      </c>
      <c r="BY35" s="492">
        <f t="shared" si="142"/>
        <v>100</v>
      </c>
      <c r="BZ35" s="492">
        <f t="shared" si="107"/>
        <v>300</v>
      </c>
      <c r="CA35" s="222"/>
      <c r="CB35" s="532">
        <f t="shared" si="143"/>
        <v>150</v>
      </c>
      <c r="CC35" s="492">
        <f t="shared" si="144"/>
        <v>150</v>
      </c>
      <c r="CD35" s="492">
        <f t="shared" si="145"/>
        <v>150</v>
      </c>
      <c r="CE35" s="492">
        <f t="shared" si="108"/>
        <v>450</v>
      </c>
      <c r="CF35" s="222"/>
      <c r="CG35" s="532">
        <f t="shared" si="146"/>
        <v>200</v>
      </c>
      <c r="CH35" s="492">
        <f t="shared" si="147"/>
        <v>200</v>
      </c>
      <c r="CI35" s="492">
        <f t="shared" si="148"/>
        <v>200</v>
      </c>
      <c r="CJ35" s="492">
        <f t="shared" si="109"/>
        <v>600</v>
      </c>
      <c r="CK35" s="222"/>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row>
    <row r="36" spans="1:179" s="57" customFormat="1" ht="9.75" customHeight="1" x14ac:dyDescent="0.15">
      <c r="A36" s="488" t="s">
        <v>156</v>
      </c>
      <c r="B36" s="374">
        <v>500</v>
      </c>
      <c r="C36" s="285">
        <v>0</v>
      </c>
      <c r="D36" s="228"/>
      <c r="E36" s="624"/>
      <c r="F36" s="649">
        <v>3200</v>
      </c>
      <c r="G36" s="648">
        <v>3200</v>
      </c>
      <c r="H36" s="492">
        <f>SUM((IF(ISBLANK(D36),B36,D36))+(H34*(IF(ISBLANK(E36),C36,E36))))</f>
        <v>500</v>
      </c>
      <c r="I36" s="492">
        <f>SUM((IF(ISBLANK(D36),B36,D36))+(I34*(IF(ISBLANK(E36),C36,E36))))</f>
        <v>500</v>
      </c>
      <c r="J36" s="217">
        <f t="shared" si="110"/>
        <v>22200</v>
      </c>
      <c r="K36" s="492">
        <f>SUM((IF(ISBLANK(D36),B36,D36))+(K34*(IF(ISBLANK(E36),C36,E36))))</f>
        <v>500</v>
      </c>
      <c r="L36" s="492">
        <f>SUM((IF(ISBLANK(D36),B36,D36))+(L34*(IF(ISBLANK(E36),C36,E36))))</f>
        <v>500</v>
      </c>
      <c r="M36" s="492">
        <f>SUM((IF(ISBLANK(D36),B36,D36))+(M34*(IF(ISBLANK(E36),C36,E36))))</f>
        <v>500</v>
      </c>
      <c r="N36" s="492">
        <f>SUM((IF(ISBLANK(D36),B36,D36))+(N34*(IF(ISBLANK(E36),C36,E36))))</f>
        <v>500</v>
      </c>
      <c r="O36" s="217">
        <f t="shared" si="111"/>
        <v>6000</v>
      </c>
      <c r="P36" s="492">
        <f>SUM((IF(ISBLANK(D36),B36,D36))+(P34*(IF(ISBLANK(E36),C36,E36))))</f>
        <v>500</v>
      </c>
      <c r="Q36" s="492">
        <f>SUM((IF(ISBLANK(D36),B36,D36))+(Q34*(IF(ISBLANK(E36),C36,E36))))</f>
        <v>500</v>
      </c>
      <c r="R36" s="492">
        <f>SUM((IF(ISBLANK(D36),B36,D36))+(R34*(IF(ISBLANK(E36),C36,E36))))</f>
        <v>500</v>
      </c>
      <c r="S36" s="492">
        <f>SUM((IF(ISBLANK(D36),B36,D36))+(S34*(IF(ISBLANK(E36),C36,E36))))</f>
        <v>500</v>
      </c>
      <c r="T36" s="218">
        <f t="shared" si="112"/>
        <v>6000</v>
      </c>
      <c r="U36" s="221"/>
      <c r="V36" s="239">
        <f>SUM((IF(ISBLANK(D36),B36,D36))+(V34*(IF(ISBLANK(E36),C36,E36))))</f>
        <v>500</v>
      </c>
      <c r="W36" s="217">
        <f>SUM((IF(ISBLANK(D36),B36,D36))+(W34*(IF(ISBLANK(E36),C36,E36))))</f>
        <v>500</v>
      </c>
      <c r="X36" s="242">
        <f>SUM((IF(ISBLANK(D36),B36,D36))+(X34*(IF(ISBLANK(E36),C36,E36))))</f>
        <v>500</v>
      </c>
      <c r="Y36" s="221"/>
      <c r="Z36" s="578">
        <f>SUM(3832+10734+12859+20000)</f>
        <v>47425</v>
      </c>
      <c r="AA36" s="617"/>
      <c r="AB36" s="532">
        <f t="shared" si="113"/>
        <v>3200</v>
      </c>
      <c r="AC36" s="492">
        <f t="shared" si="114"/>
        <v>3200</v>
      </c>
      <c r="AD36" s="492">
        <f t="shared" si="115"/>
        <v>3200</v>
      </c>
      <c r="AE36" s="492">
        <f t="shared" si="98"/>
        <v>9600</v>
      </c>
      <c r="AF36" s="222"/>
      <c r="AG36" s="532">
        <f t="shared" si="116"/>
        <v>3200</v>
      </c>
      <c r="AH36" s="492">
        <f t="shared" si="117"/>
        <v>3200</v>
      </c>
      <c r="AI36" s="492">
        <f t="shared" si="118"/>
        <v>3200</v>
      </c>
      <c r="AJ36" s="492">
        <f t="shared" si="99"/>
        <v>9600</v>
      </c>
      <c r="AK36" s="222"/>
      <c r="AL36" s="532">
        <f t="shared" si="119"/>
        <v>500</v>
      </c>
      <c r="AM36" s="492">
        <f t="shared" si="120"/>
        <v>500</v>
      </c>
      <c r="AN36" s="492">
        <f t="shared" si="121"/>
        <v>500</v>
      </c>
      <c r="AO36" s="492">
        <f t="shared" si="100"/>
        <v>1500</v>
      </c>
      <c r="AP36" s="222"/>
      <c r="AQ36" s="532">
        <f t="shared" si="122"/>
        <v>500</v>
      </c>
      <c r="AR36" s="492">
        <f t="shared" si="123"/>
        <v>500</v>
      </c>
      <c r="AS36" s="492">
        <f t="shared" si="124"/>
        <v>500</v>
      </c>
      <c r="AT36" s="492">
        <f t="shared" si="101"/>
        <v>1500</v>
      </c>
      <c r="AU36" s="222"/>
      <c r="AV36" s="617"/>
      <c r="AW36" s="532">
        <f t="shared" si="125"/>
        <v>500</v>
      </c>
      <c r="AX36" s="492">
        <f t="shared" si="126"/>
        <v>500</v>
      </c>
      <c r="AY36" s="492">
        <f t="shared" si="127"/>
        <v>500</v>
      </c>
      <c r="AZ36" s="492">
        <f t="shared" si="102"/>
        <v>1500</v>
      </c>
      <c r="BA36" s="222"/>
      <c r="BB36" s="532">
        <f t="shared" si="128"/>
        <v>500</v>
      </c>
      <c r="BC36" s="492">
        <f>L36</f>
        <v>500</v>
      </c>
      <c r="BD36" s="492">
        <f t="shared" si="130"/>
        <v>500</v>
      </c>
      <c r="BE36" s="492">
        <f t="shared" si="103"/>
        <v>1500</v>
      </c>
      <c r="BF36" s="222"/>
      <c r="BG36" s="532">
        <f t="shared" si="131"/>
        <v>500</v>
      </c>
      <c r="BH36" s="492">
        <f t="shared" si="132"/>
        <v>500</v>
      </c>
      <c r="BI36" s="492">
        <f t="shared" si="133"/>
        <v>500</v>
      </c>
      <c r="BJ36" s="492">
        <f t="shared" si="104"/>
        <v>1500</v>
      </c>
      <c r="BK36" s="222"/>
      <c r="BL36" s="532">
        <f t="shared" si="134"/>
        <v>500</v>
      </c>
      <c r="BM36" s="492">
        <f t="shared" si="135"/>
        <v>500</v>
      </c>
      <c r="BN36" s="492">
        <f t="shared" si="136"/>
        <v>500</v>
      </c>
      <c r="BO36" s="492">
        <f t="shared" si="105"/>
        <v>1500</v>
      </c>
      <c r="BP36" s="222"/>
      <c r="BQ36" s="221"/>
      <c r="BR36" s="532">
        <f t="shared" si="137"/>
        <v>500</v>
      </c>
      <c r="BS36" s="492">
        <f t="shared" si="138"/>
        <v>500</v>
      </c>
      <c r="BT36" s="492">
        <f t="shared" si="139"/>
        <v>500</v>
      </c>
      <c r="BU36" s="492">
        <f t="shared" si="106"/>
        <v>1500</v>
      </c>
      <c r="BV36" s="222"/>
      <c r="BW36" s="532">
        <f t="shared" si="140"/>
        <v>500</v>
      </c>
      <c r="BX36" s="492">
        <f t="shared" si="141"/>
        <v>500</v>
      </c>
      <c r="BY36" s="492">
        <f t="shared" si="142"/>
        <v>500</v>
      </c>
      <c r="BZ36" s="492">
        <f t="shared" si="107"/>
        <v>1500</v>
      </c>
      <c r="CA36" s="222"/>
      <c r="CB36" s="532">
        <f t="shared" si="143"/>
        <v>500</v>
      </c>
      <c r="CC36" s="492">
        <f t="shared" si="144"/>
        <v>500</v>
      </c>
      <c r="CD36" s="492">
        <f t="shared" si="145"/>
        <v>500</v>
      </c>
      <c r="CE36" s="492">
        <f t="shared" si="108"/>
        <v>1500</v>
      </c>
      <c r="CF36" s="222"/>
      <c r="CG36" s="532">
        <f t="shared" si="146"/>
        <v>500</v>
      </c>
      <c r="CH36" s="492">
        <f t="shared" si="147"/>
        <v>500</v>
      </c>
      <c r="CI36" s="492">
        <f t="shared" si="148"/>
        <v>500</v>
      </c>
      <c r="CJ36" s="492">
        <f t="shared" si="109"/>
        <v>1500</v>
      </c>
      <c r="CK36" s="222"/>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row>
    <row r="37" spans="1:179" s="57" customFormat="1" ht="9.75" customHeight="1" x14ac:dyDescent="0.15">
      <c r="A37" s="488" t="s">
        <v>157</v>
      </c>
      <c r="B37" s="145">
        <v>0.3</v>
      </c>
      <c r="C37" s="285">
        <v>0</v>
      </c>
      <c r="D37" s="291"/>
      <c r="E37" s="624"/>
      <c r="F37" s="491">
        <f>SUM((IF(AE21*((0*(IF(ISBLANK(E37),C37,E37)))+IF(ISBLANK(D37),B37,D37)) &lt; 0, 0, (AE21*((0*(IF(ISBLANK(E37),C37,E37)))+IF(ISBLANK(D37),B37,D37)))))/3)</f>
        <v>0</v>
      </c>
      <c r="G37" s="492">
        <f>SUM((IF(AJ21*((0*(IF(ISBLANK(E37),C37,E37)))+IF(ISBLANK(D37),B37,D37)) &lt; 0, 0, (AJ21*((0*(IF(ISBLANK(E37),C37,E37)))+IF(ISBLANK(D37),B37,D37)))))/3)</f>
        <v>0</v>
      </c>
      <c r="H37" s="492">
        <f>SUM((IF(AO21*((0*(IF(ISBLANK(E37),C37,E37)))+IF(ISBLANK(D37),B37,D37)) &lt; 0, 0, (AO21*((0*(IF(ISBLANK(E37),C37,E37)))+IF(ISBLANK(D37),B37,D37)))))/3)</f>
        <v>444.71566288157754</v>
      </c>
      <c r="I37" s="492">
        <f>SUM((IF(AT21*((1*(IF(ISBLANK(E37),C37,E37)))+IF(ISBLANK(D37),B37,D37)) &lt; 0, 0, (AT21*((1*(IF(ISBLANK(E37),C37,E37)))+IF(ISBLANK(D37),B37,D37)))))/3)</f>
        <v>762.65786574669971</v>
      </c>
      <c r="J37" s="217">
        <f t="shared" si="110"/>
        <v>3622.1205858848316</v>
      </c>
      <c r="K37" s="492">
        <f>SUM((IF(AZ21*((2*(IF(ISBLANK(E37),C37,E37)))+IF(ISBLANK(D37),B37,D37)) &lt; 0, 0, (AZ21*((2*(IF(ISBLANK(E37),C37,E37)))+IF(ISBLANK(D37),B37,D37)))))/3)</f>
        <v>1136.9671351419056</v>
      </c>
      <c r="L37" s="492">
        <f>SUM((IF(BE21*((3*(IF(ISBLANK(E37),C37,E37)))+IF(ISBLANK(D37),B37,D37)) &lt; 0, 0, (BE21*((3*(IF(ISBLANK(E37),C37,E37)))+IF(ISBLANK(D37),B37,D37)))))/3)</f>
        <v>1563.6482003431754</v>
      </c>
      <c r="M37" s="492">
        <f>SUM((IF(BJ21*((4*(IF(ISBLANK(E37),C37,E37)))+IF(ISBLANK(D37),B37,D37)) &lt; 0, 0, (BJ21*((4*(IF(ISBLANK(E37),C37,E37)))+IF(ISBLANK(D37),B37,D37)))))/3)</f>
        <v>2033.6758893364365</v>
      </c>
      <c r="N37" s="492">
        <f>SUM((IF(BO21*((5*(IF(ISBLANK(E37),C37,E37)))+IF(ISBLANK(D37),B37,D37)) &lt; 0, 0, (BO21*((5*(IF(ISBLANK(E37),C37,E37)))+IF(ISBLANK(D37),B37,D37)))))/3)</f>
        <v>2556.5870925576482</v>
      </c>
      <c r="O37" s="217">
        <f t="shared" si="111"/>
        <v>21872.634952137498</v>
      </c>
      <c r="P37" s="492">
        <f>SUM((IF(BU21*((6*(IF(ISBLANK(E37),C37,E37)))+IF(ISBLANK(D37),B37,D37)) &lt; 0, 0, (BU21*((6*(IF(ISBLANK(E37),C37,E37)))+IF(ISBLANK(D37),B37,D37)))))/3)</f>
        <v>3163.313409600712</v>
      </c>
      <c r="Q37" s="492">
        <f>SUM((IF(BZ21*((7*(IF(ISBLANK(E37),C37,E37)))+IF(ISBLANK(D37),B37,D37)) &lt; 0, 0, (BZ21*((7*(IF(ISBLANK(E37),C37,E37)))+IF(ISBLANK(D37),B37,D37)))))/3)</f>
        <v>3876.349919606469</v>
      </c>
      <c r="R37" s="492">
        <f>SUM((IF(CE21*((8*(IF(ISBLANK(E37),C37,E37)))+IF(ISBLANK(D37),B37,D37)) &lt; 0, 0, (CE21*((8*(IF(ISBLANK(E37),C37,E37)))+IF(ISBLANK(D37),B37,D37)))))/3)</f>
        <v>4710.6081733228502</v>
      </c>
      <c r="S37" s="492">
        <f>SUM((IF(CJ21*((9*(IF(ISBLANK(E37),C37,E37)))+IF(ISBLANK(D37),B37,D37)) &lt; 0, 0, (CJ21*((9*(IF(ISBLANK(E37),C37,E37)))+IF(ISBLANK(D37),B37,D37)))))/3)</f>
        <v>5683.6613648177508</v>
      </c>
      <c r="T37" s="218">
        <f t="shared" si="112"/>
        <v>52301.798602043345</v>
      </c>
      <c r="U37" s="221"/>
      <c r="V37" s="239">
        <f>SUM((IF((V21*V18)*((10*(IF(ISBLANK(E37),C37,E37)))+IF(ISBLANK(D37),B37,D37)) &lt; 0, 0, ((V21*V18)*((10*(IF(ISBLANK(E37),C37,E37)))+IF(ISBLANK(D37),B37,D37))))))</f>
        <v>247284.48229011372</v>
      </c>
      <c r="W37" s="217">
        <f>SUM((IF((W21*W18)*((10*(IF(ISBLANK(E37),C37,E37)))+IF(ISBLANK(D37),B37,D37)) &lt; 0, 0, ((W21*W18)*((10*(IF(ISBLANK(E37),C37,E37)))+IF(ISBLANK(D37),B37,D37))))))</f>
        <v>453221.76311092009</v>
      </c>
      <c r="X37" s="242">
        <f>SUM((IF((X21*X18)*((10*(IF(ISBLANK(E37),C37,E37)))+IF(ISBLANK(D37),B37,D37)) &lt; 0, 0, ((X21*X18)*((10*(IF(ISBLANK(E37),C37,E37)))+IF(ISBLANK(D37),B37,D37))))))</f>
        <v>667698.61869647645</v>
      </c>
      <c r="Y37" s="221"/>
      <c r="Z37" s="578">
        <v>0</v>
      </c>
      <c r="AA37" s="617"/>
      <c r="AB37" s="532">
        <f t="shared" si="113"/>
        <v>0</v>
      </c>
      <c r="AC37" s="492">
        <f t="shared" si="114"/>
        <v>0</v>
      </c>
      <c r="AD37" s="492">
        <f t="shared" si="115"/>
        <v>0</v>
      </c>
      <c r="AE37" s="492">
        <f>SUM(AB37:AD37)</f>
        <v>0</v>
      </c>
      <c r="AF37" s="222"/>
      <c r="AG37" s="532">
        <f t="shared" si="116"/>
        <v>0</v>
      </c>
      <c r="AH37" s="492">
        <f t="shared" si="117"/>
        <v>0</v>
      </c>
      <c r="AI37" s="492">
        <f t="shared" si="118"/>
        <v>0</v>
      </c>
      <c r="AJ37" s="492">
        <f>SUM(AG37:AI37)</f>
        <v>0</v>
      </c>
      <c r="AK37" s="222"/>
      <c r="AL37" s="532">
        <f t="shared" si="119"/>
        <v>444.71566288157754</v>
      </c>
      <c r="AM37" s="492">
        <f t="shared" si="120"/>
        <v>444.71566288157754</v>
      </c>
      <c r="AN37" s="492">
        <f t="shared" si="121"/>
        <v>444.71566288157754</v>
      </c>
      <c r="AO37" s="492">
        <f>SUM(AL37:AN37)</f>
        <v>1334.1469886447326</v>
      </c>
      <c r="AP37" s="222"/>
      <c r="AQ37" s="532">
        <f t="shared" si="122"/>
        <v>762.65786574669971</v>
      </c>
      <c r="AR37" s="492">
        <f t="shared" si="123"/>
        <v>762.65786574669971</v>
      </c>
      <c r="AS37" s="492">
        <f t="shared" si="124"/>
        <v>762.65786574669971</v>
      </c>
      <c r="AT37" s="492">
        <f>SUM(AQ37:AS37)</f>
        <v>2287.973597240099</v>
      </c>
      <c r="AU37" s="222"/>
      <c r="AV37" s="617"/>
      <c r="AW37" s="532">
        <f t="shared" si="125"/>
        <v>1136.9671351419056</v>
      </c>
      <c r="AX37" s="492">
        <f t="shared" si="126"/>
        <v>1136.9671351419056</v>
      </c>
      <c r="AY37" s="492">
        <f t="shared" si="127"/>
        <v>1136.9671351419056</v>
      </c>
      <c r="AZ37" s="492">
        <f>SUM(AW37:AY37)</f>
        <v>3410.9014054257168</v>
      </c>
      <c r="BA37" s="222"/>
      <c r="BB37" s="532">
        <f t="shared" si="128"/>
        <v>1563.6482003431754</v>
      </c>
      <c r="BC37" s="492">
        <f>L37</f>
        <v>1563.6482003431754</v>
      </c>
      <c r="BD37" s="492">
        <f t="shared" si="130"/>
        <v>1563.6482003431754</v>
      </c>
      <c r="BE37" s="492">
        <f>SUM(BB37:BD37)</f>
        <v>4690.944601029526</v>
      </c>
      <c r="BF37" s="222"/>
      <c r="BG37" s="532">
        <f t="shared" si="131"/>
        <v>2033.6758893364365</v>
      </c>
      <c r="BH37" s="492">
        <f t="shared" si="132"/>
        <v>2033.6758893364365</v>
      </c>
      <c r="BI37" s="492">
        <f t="shared" si="133"/>
        <v>2033.6758893364365</v>
      </c>
      <c r="BJ37" s="492">
        <f>SUM(BG37:BI37)</f>
        <v>6101.0276680093093</v>
      </c>
      <c r="BK37" s="222"/>
      <c r="BL37" s="532">
        <f t="shared" si="134"/>
        <v>2556.5870925576482</v>
      </c>
      <c r="BM37" s="492">
        <f t="shared" si="135"/>
        <v>2556.5870925576482</v>
      </c>
      <c r="BN37" s="492">
        <f t="shared" si="136"/>
        <v>2556.5870925576482</v>
      </c>
      <c r="BO37" s="492">
        <f>SUM(BL37:BN37)</f>
        <v>7669.7612776729447</v>
      </c>
      <c r="BP37" s="222"/>
      <c r="BQ37" s="221"/>
      <c r="BR37" s="532">
        <f t="shared" si="137"/>
        <v>3163.313409600712</v>
      </c>
      <c r="BS37" s="492">
        <f t="shared" si="138"/>
        <v>3163.313409600712</v>
      </c>
      <c r="BT37" s="492">
        <f t="shared" si="139"/>
        <v>3163.313409600712</v>
      </c>
      <c r="BU37" s="492">
        <f>SUM(BR37:BT37)</f>
        <v>9489.9402288021356</v>
      </c>
      <c r="BV37" s="222"/>
      <c r="BW37" s="532">
        <f t="shared" si="140"/>
        <v>3876.349919606469</v>
      </c>
      <c r="BX37" s="492">
        <f t="shared" si="141"/>
        <v>3876.349919606469</v>
      </c>
      <c r="BY37" s="492">
        <f t="shared" si="142"/>
        <v>3876.349919606469</v>
      </c>
      <c r="BZ37" s="492">
        <f>SUM(BW37:BY37)</f>
        <v>11629.049758819407</v>
      </c>
      <c r="CA37" s="222"/>
      <c r="CB37" s="532">
        <f t="shared" si="143"/>
        <v>4710.6081733228502</v>
      </c>
      <c r="CC37" s="492">
        <f t="shared" si="144"/>
        <v>4710.6081733228502</v>
      </c>
      <c r="CD37" s="492">
        <f t="shared" si="145"/>
        <v>4710.6081733228502</v>
      </c>
      <c r="CE37" s="492">
        <f>SUM(CB37:CD37)</f>
        <v>14131.824519968552</v>
      </c>
      <c r="CF37" s="222"/>
      <c r="CG37" s="532">
        <f t="shared" si="146"/>
        <v>5683.6613648177508</v>
      </c>
      <c r="CH37" s="492">
        <f t="shared" si="147"/>
        <v>5683.6613648177508</v>
      </c>
      <c r="CI37" s="492">
        <f t="shared" si="148"/>
        <v>5683.6613648177508</v>
      </c>
      <c r="CJ37" s="492">
        <f>SUM(CG37:CI37)</f>
        <v>17050.984094453252</v>
      </c>
      <c r="CK37" s="222"/>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row>
    <row r="38" spans="1:179" s="57" customFormat="1" ht="9.75" customHeight="1" x14ac:dyDescent="0.15">
      <c r="A38" s="488" t="s">
        <v>158</v>
      </c>
      <c r="B38" s="239">
        <v>3000</v>
      </c>
      <c r="C38" s="218">
        <v>5000</v>
      </c>
      <c r="D38" s="228"/>
      <c r="E38" s="229"/>
      <c r="F38" s="491">
        <f>SUM((IF(ISBLANK(D38),B38,D38)))</f>
        <v>3000</v>
      </c>
      <c r="G38" s="492">
        <f>SUM((IF(ISBLANK(D38),B38,D38)))</f>
        <v>3000</v>
      </c>
      <c r="H38" s="492">
        <f>SUM((IF(ISBLANK(D38),B38,D38)))</f>
        <v>3000</v>
      </c>
      <c r="I38" s="492">
        <f>SUM((IF(ISBLANK(D38),B38,D38)))</f>
        <v>3000</v>
      </c>
      <c r="J38" s="217">
        <f t="shared" si="110"/>
        <v>36000</v>
      </c>
      <c r="K38" s="492">
        <f>SUM((IF(ISBLANK(D38),B38,D38))+(IF(ISBLANK(E38),C38,E38)))</f>
        <v>8000</v>
      </c>
      <c r="L38" s="492">
        <f>SUM((IF(ISBLANK(D38),B38,D38))+(IF(ISBLANK(E38),C38,E38)))</f>
        <v>8000</v>
      </c>
      <c r="M38" s="492">
        <f>SUM((IF(ISBLANK(D38),B38,D38))+(IF(ISBLANK(E38),C38,E38)))</f>
        <v>8000</v>
      </c>
      <c r="N38" s="492">
        <f>SUM((IF(ISBLANK(D38),B38,D38))+(IF(ISBLANK(E38),C38,E38)))</f>
        <v>8000</v>
      </c>
      <c r="O38" s="217">
        <f t="shared" si="111"/>
        <v>96000</v>
      </c>
      <c r="P38" s="492">
        <f>SUM((IF(ISBLANK(D38),B38,D38))+(IF(ISBLANK(E38),C38,E38)))</f>
        <v>8000</v>
      </c>
      <c r="Q38" s="492">
        <f>SUM((IF(ISBLANK(D38),B38,D38))+(IF(ISBLANK(E38),C38,E38)))</f>
        <v>8000</v>
      </c>
      <c r="R38" s="492">
        <f>SUM((IF(ISBLANK(D38),B38,D38))+(IF(ISBLANK(E38),C38,E38)))</f>
        <v>8000</v>
      </c>
      <c r="S38" s="492">
        <f>SUM((IF(ISBLANK(D38),B38,D38))+(IF(ISBLANK(E38),C38,E38)))</f>
        <v>8000</v>
      </c>
      <c r="T38" s="218">
        <f t="shared" si="112"/>
        <v>96000</v>
      </c>
      <c r="U38" s="221"/>
      <c r="V38" s="239">
        <f>SUM(S38*12)</f>
        <v>96000</v>
      </c>
      <c r="W38" s="217">
        <f>SUM(S38*12)</f>
        <v>96000</v>
      </c>
      <c r="X38" s="242">
        <f>SUM(S38*12)</f>
        <v>96000</v>
      </c>
      <c r="Y38" s="221"/>
      <c r="Z38" s="578">
        <v>45000</v>
      </c>
      <c r="AA38" s="617"/>
      <c r="AB38" s="532">
        <f t="shared" si="113"/>
        <v>3000</v>
      </c>
      <c r="AC38" s="492">
        <f t="shared" si="114"/>
        <v>3000</v>
      </c>
      <c r="AD38" s="492">
        <f t="shared" si="115"/>
        <v>3000</v>
      </c>
      <c r="AE38" s="492">
        <f t="shared" si="98"/>
        <v>9000</v>
      </c>
      <c r="AF38" s="222"/>
      <c r="AG38" s="532">
        <f t="shared" si="116"/>
        <v>3000</v>
      </c>
      <c r="AH38" s="492">
        <f t="shared" si="117"/>
        <v>3000</v>
      </c>
      <c r="AI38" s="492">
        <f t="shared" si="118"/>
        <v>3000</v>
      </c>
      <c r="AJ38" s="492">
        <f t="shared" si="99"/>
        <v>9000</v>
      </c>
      <c r="AK38" s="222"/>
      <c r="AL38" s="532">
        <f t="shared" si="119"/>
        <v>3000</v>
      </c>
      <c r="AM38" s="492">
        <f t="shared" si="120"/>
        <v>3000</v>
      </c>
      <c r="AN38" s="492">
        <f t="shared" si="121"/>
        <v>3000</v>
      </c>
      <c r="AO38" s="492">
        <f t="shared" si="100"/>
        <v>9000</v>
      </c>
      <c r="AP38" s="222"/>
      <c r="AQ38" s="532">
        <f t="shared" si="122"/>
        <v>3000</v>
      </c>
      <c r="AR38" s="492">
        <f t="shared" si="123"/>
        <v>3000</v>
      </c>
      <c r="AS38" s="492">
        <f t="shared" si="124"/>
        <v>3000</v>
      </c>
      <c r="AT38" s="492">
        <f t="shared" si="101"/>
        <v>9000</v>
      </c>
      <c r="AU38" s="222"/>
      <c r="AV38" s="617"/>
      <c r="AW38" s="532">
        <f t="shared" si="125"/>
        <v>8000</v>
      </c>
      <c r="AX38" s="492">
        <f t="shared" si="126"/>
        <v>8000</v>
      </c>
      <c r="AY38" s="492">
        <f t="shared" si="127"/>
        <v>8000</v>
      </c>
      <c r="AZ38" s="492">
        <f t="shared" si="102"/>
        <v>24000</v>
      </c>
      <c r="BA38" s="222"/>
      <c r="BB38" s="532">
        <f t="shared" si="128"/>
        <v>8000</v>
      </c>
      <c r="BC38" s="492">
        <f t="shared" si="129"/>
        <v>8000</v>
      </c>
      <c r="BD38" s="492">
        <f t="shared" si="130"/>
        <v>8000</v>
      </c>
      <c r="BE38" s="492">
        <f t="shared" si="103"/>
        <v>24000</v>
      </c>
      <c r="BF38" s="222"/>
      <c r="BG38" s="532">
        <f t="shared" si="131"/>
        <v>8000</v>
      </c>
      <c r="BH38" s="492">
        <f t="shared" si="132"/>
        <v>8000</v>
      </c>
      <c r="BI38" s="492">
        <f t="shared" si="133"/>
        <v>8000</v>
      </c>
      <c r="BJ38" s="492">
        <f t="shared" si="104"/>
        <v>24000</v>
      </c>
      <c r="BK38" s="222"/>
      <c r="BL38" s="532">
        <f t="shared" si="134"/>
        <v>8000</v>
      </c>
      <c r="BM38" s="492">
        <f t="shared" si="135"/>
        <v>8000</v>
      </c>
      <c r="BN38" s="492">
        <f t="shared" si="136"/>
        <v>8000</v>
      </c>
      <c r="BO38" s="492">
        <f t="shared" si="105"/>
        <v>24000</v>
      </c>
      <c r="BP38" s="222"/>
      <c r="BQ38" s="221"/>
      <c r="BR38" s="532">
        <f t="shared" si="137"/>
        <v>8000</v>
      </c>
      <c r="BS38" s="492">
        <f t="shared" si="138"/>
        <v>8000</v>
      </c>
      <c r="BT38" s="492">
        <f t="shared" si="139"/>
        <v>8000</v>
      </c>
      <c r="BU38" s="492">
        <f t="shared" si="106"/>
        <v>24000</v>
      </c>
      <c r="BV38" s="222"/>
      <c r="BW38" s="532">
        <f t="shared" si="140"/>
        <v>8000</v>
      </c>
      <c r="BX38" s="492">
        <f t="shared" si="141"/>
        <v>8000</v>
      </c>
      <c r="BY38" s="492">
        <f t="shared" si="142"/>
        <v>8000</v>
      </c>
      <c r="BZ38" s="492">
        <f t="shared" si="107"/>
        <v>24000</v>
      </c>
      <c r="CA38" s="222"/>
      <c r="CB38" s="532">
        <f t="shared" si="143"/>
        <v>8000</v>
      </c>
      <c r="CC38" s="492">
        <f t="shared" si="144"/>
        <v>8000</v>
      </c>
      <c r="CD38" s="492">
        <f t="shared" si="145"/>
        <v>8000</v>
      </c>
      <c r="CE38" s="492">
        <f t="shared" si="108"/>
        <v>24000</v>
      </c>
      <c r="CF38" s="222"/>
      <c r="CG38" s="532">
        <f t="shared" si="146"/>
        <v>8000</v>
      </c>
      <c r="CH38" s="492">
        <f t="shared" si="147"/>
        <v>8000</v>
      </c>
      <c r="CI38" s="492">
        <f t="shared" si="148"/>
        <v>8000</v>
      </c>
      <c r="CJ38" s="492">
        <f t="shared" si="109"/>
        <v>24000</v>
      </c>
      <c r="CK38" s="222"/>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row>
    <row r="39" spans="1:179" s="57" customFormat="1" ht="9.75" customHeight="1" x14ac:dyDescent="0.15">
      <c r="A39" s="488" t="s">
        <v>193</v>
      </c>
      <c r="B39" s="145">
        <v>0.2</v>
      </c>
      <c r="C39" s="126">
        <v>0</v>
      </c>
      <c r="D39" s="291"/>
      <c r="E39" s="624"/>
      <c r="F39" s="226">
        <v>0</v>
      </c>
      <c r="G39" s="492">
        <f>IF(IF(F30&gt;0,F30*((0*(IF(ISBLANK(E39),C39,E39)))+(IF(ISBLANK(D39),B39,D39))),0)&lt;0,0,IF(F30&gt;0,F30*((0*(IF(ISBLANK(E39),C39,E39)))+(IF(ISBLANK(D39),B39,D39))),0))/3</f>
        <v>0</v>
      </c>
      <c r="H39" s="492">
        <f>IF(IF(G30&gt;0,G30*((0*(IF(ISBLANK(E39),C39,E39)))+(IF(ISBLANK(D39),B39,D39))),0)&lt;0,0,IF(G30&gt;0,G30*((0*(IF(ISBLANK(E39),C39,E39)))+(IF(ISBLANK(D39),B39,D39))),0))/3</f>
        <v>0</v>
      </c>
      <c r="I39" s="492">
        <f>IF(IF(H30&gt;0,H30*((1*(IF(ISBLANK(E39),C39,E39)))+(IF(ISBLANK(D39),B39,D39))),0)&lt;0,0,IF(H30&gt;0,H30*((1*(IF(ISBLANK(E39),C39,E39)))+(IF(ISBLANK(D39),B39,D39))),0))/3</f>
        <v>296.47710858771842</v>
      </c>
      <c r="J39" s="217">
        <f t="shared" si="110"/>
        <v>889.4313257631552</v>
      </c>
      <c r="K39" s="492">
        <f>IF(IF(I30&gt;0,I30*((2*(IF(ISBLANK(E39),C39,E39)))+(IF(ISBLANK(D39),B39,D39))),0)&lt;0,0,IF(I30&gt;0,I30*((2*(IF(ISBLANK(E39),C39,E39)))+(IF(ISBLANK(D39),B39,D39))),0))/3</f>
        <v>915.18943889603963</v>
      </c>
      <c r="L39" s="492">
        <f>IF(IF(K30&gt;0,K30*((3*(IF(ISBLANK(E39),C39,E39)))+(IF(ISBLANK(D39),B39,D39))),0)&lt;0,0,IF(K30&gt;0,K30*((3*(IF(ISBLANK(E39),C39,E39)))+(IF(ISBLANK(D39),B39,D39))),0))/3</f>
        <v>1389.6264985067735</v>
      </c>
      <c r="M39" s="492">
        <f>IF(IF(L30&gt;0,L30*((4*(IF(ISBLANK(E39),C39,E39)))+(IF(ISBLANK(D39),B39,D39))),0)&lt;0,0,IF(L30&gt;0,L30*((4*(IF(ISBLANK(E39),C39,E39)))+(IF(ISBLANK(D39),B39,D39))),0))/3</f>
        <v>1935.9453909010745</v>
      </c>
      <c r="N39" s="492">
        <f>IF(IF(M30&gt;0,M30*((5*(IF(ISBLANK(E39),C39,E39)))+(IF(ISBLANK(D39),B39,D39))),0)&lt;0,0,IF(M30&gt;0,M30*((5*(IF(ISBLANK(E39),C39,E39)))+(IF(ISBLANK(D39),B39,D39))),0))/3</f>
        <v>2542.0948616705459</v>
      </c>
      <c r="O39" s="217">
        <f t="shared" si="111"/>
        <v>20348.5685699233</v>
      </c>
      <c r="P39" s="492">
        <f>IF(IF(N30&gt;0,N30*((6*(IF(ISBLANK(E39),C39,E39)))+(IF(ISBLANK(D39),B39,D39))),0)&lt;0,0,IF(N30&gt;0,N30*((6*(IF(ISBLANK(E39),C39,E39)))+(IF(ISBLANK(D39),B39,D39))),0))/3</f>
        <v>3219.4059684059271</v>
      </c>
      <c r="Q39" s="492">
        <f>IF(IF(P30&gt;0,P30*((7*(IF(ISBLANK(E39),C39,E39)))+(IF(ISBLANK(D39),B39,D39))),0)&lt;0,0,IF(P30&gt;0,P30*((7*(IF(ISBLANK(E39),C39,E39)))+(IF(ISBLANK(D39),B39,D39))),0))/3</f>
        <v>4006.8636521609028</v>
      </c>
      <c r="R39" s="492">
        <f>IF(IF(Q30&gt;0,Q30*((8*(IF(ISBLANK(E39),C39,E39)))+(IF(ISBLANK(D39),B39,D39))),0)&lt;0,0,IF(Q30&gt;0,Q30*((8*(IF(ISBLANK(E39),C39,E39)))+(IF(ISBLANK(D39),B39,D39))),0))/3</f>
        <v>4933.5362613173229</v>
      </c>
      <c r="S39" s="492">
        <f>IF(IF(R30&gt;0,R30*((9*(IF(ISBLANK(E39),C39,E39)))+(IF(ISBLANK(D39),B39,D39))),0)&lt;0,0,IF(R30&gt;0,R30*((9*(IF(ISBLANK(E39),C39,E39)))+(IF(ISBLANK(D39),B39,D39))),0))/3</f>
        <v>6019.1104436903106</v>
      </c>
      <c r="T39" s="218">
        <f t="shared" si="112"/>
        <v>54536.748976723393</v>
      </c>
      <c r="U39" s="221"/>
      <c r="V39" s="239">
        <f>SUM((V30*(IF(ISBLANK(D39),B39,D39)+(10*IF(ISBLANK(E39),C39,E39))))+(S30*(IF(ISBLANK(D39),B39,D39)+(10*IF(ISBLANK(E39),C39,E39)))))</f>
        <v>233558.76780991457</v>
      </c>
      <c r="W39" s="217">
        <f>SUM((W30*(IF(ISBLANK(D39),B39,D39)+(11*IF(ISBLANK(E39),C39,E39)))))</f>
        <v>474603.09451589454</v>
      </c>
      <c r="X39" s="242">
        <f>SUM((X30*(IF(ISBLANK(D39),B39,D39)+(12*IF(ISBLANK(E39),C39,E39)))))</f>
        <v>762226.34739634732</v>
      </c>
      <c r="Y39" s="221"/>
      <c r="Z39" s="578">
        <v>0</v>
      </c>
      <c r="AA39" s="617"/>
      <c r="AB39" s="532">
        <f>F39</f>
        <v>0</v>
      </c>
      <c r="AC39" s="492">
        <f>F39</f>
        <v>0</v>
      </c>
      <c r="AD39" s="492">
        <f>F39</f>
        <v>0</v>
      </c>
      <c r="AE39" s="492">
        <f t="shared" si="98"/>
        <v>0</v>
      </c>
      <c r="AF39" s="222"/>
      <c r="AG39" s="532">
        <f>G39</f>
        <v>0</v>
      </c>
      <c r="AH39" s="492">
        <f>G39</f>
        <v>0</v>
      </c>
      <c r="AI39" s="492">
        <f>G39</f>
        <v>0</v>
      </c>
      <c r="AJ39" s="492">
        <f t="shared" si="99"/>
        <v>0</v>
      </c>
      <c r="AK39" s="222"/>
      <c r="AL39" s="532">
        <f>H39</f>
        <v>0</v>
      </c>
      <c r="AM39" s="492">
        <f>H39</f>
        <v>0</v>
      </c>
      <c r="AN39" s="492">
        <f>H39</f>
        <v>0</v>
      </c>
      <c r="AO39" s="492">
        <f t="shared" si="100"/>
        <v>0</v>
      </c>
      <c r="AP39" s="222"/>
      <c r="AQ39" s="532">
        <f>I39</f>
        <v>296.47710858771842</v>
      </c>
      <c r="AR39" s="492">
        <f>I39</f>
        <v>296.47710858771842</v>
      </c>
      <c r="AS39" s="492">
        <f>I39</f>
        <v>296.47710858771842</v>
      </c>
      <c r="AT39" s="492">
        <f t="shared" si="101"/>
        <v>889.4313257631552</v>
      </c>
      <c r="AU39" s="222"/>
      <c r="AV39" s="617"/>
      <c r="AW39" s="532">
        <f>K39</f>
        <v>915.18943889603963</v>
      </c>
      <c r="AX39" s="492">
        <f>K39</f>
        <v>915.18943889603963</v>
      </c>
      <c r="AY39" s="492">
        <f>K39</f>
        <v>915.18943889603963</v>
      </c>
      <c r="AZ39" s="492">
        <f t="shared" si="102"/>
        <v>2745.568316688119</v>
      </c>
      <c r="BA39" s="222"/>
      <c r="BB39" s="532">
        <f>L39</f>
        <v>1389.6264985067735</v>
      </c>
      <c r="BC39" s="492">
        <f>L39</f>
        <v>1389.6264985067735</v>
      </c>
      <c r="BD39" s="492">
        <f>L39</f>
        <v>1389.6264985067735</v>
      </c>
      <c r="BE39" s="492">
        <f t="shared" si="103"/>
        <v>4168.8794955203202</v>
      </c>
      <c r="BF39" s="222"/>
      <c r="BG39" s="532">
        <f>M39</f>
        <v>1935.9453909010745</v>
      </c>
      <c r="BH39" s="492">
        <f>M39</f>
        <v>1935.9453909010745</v>
      </c>
      <c r="BI39" s="492">
        <f>M39</f>
        <v>1935.9453909010745</v>
      </c>
      <c r="BJ39" s="492">
        <f t="shared" si="104"/>
        <v>5807.8361727032234</v>
      </c>
      <c r="BK39" s="222"/>
      <c r="BL39" s="532">
        <f>N39</f>
        <v>2542.0948616705459</v>
      </c>
      <c r="BM39" s="492">
        <f>N39</f>
        <v>2542.0948616705459</v>
      </c>
      <c r="BN39" s="492">
        <f>N39</f>
        <v>2542.0948616705459</v>
      </c>
      <c r="BO39" s="492">
        <f t="shared" si="105"/>
        <v>7626.2845850116373</v>
      </c>
      <c r="BP39" s="222"/>
      <c r="BQ39" s="221"/>
      <c r="BR39" s="532">
        <f>P39</f>
        <v>3219.4059684059271</v>
      </c>
      <c r="BS39" s="492">
        <f>P39</f>
        <v>3219.4059684059271</v>
      </c>
      <c r="BT39" s="492">
        <f>P39</f>
        <v>3219.4059684059271</v>
      </c>
      <c r="BU39" s="492">
        <f t="shared" si="106"/>
        <v>9658.2179052177817</v>
      </c>
      <c r="BV39" s="222"/>
      <c r="BW39" s="532">
        <f>Q39</f>
        <v>4006.8636521609028</v>
      </c>
      <c r="BX39" s="492">
        <f>Q39</f>
        <v>4006.8636521609028</v>
      </c>
      <c r="BY39" s="492">
        <f>Q39</f>
        <v>4006.8636521609028</v>
      </c>
      <c r="BZ39" s="492">
        <f t="shared" si="107"/>
        <v>12020.590956482709</v>
      </c>
      <c r="CA39" s="222"/>
      <c r="CB39" s="532">
        <f>R39</f>
        <v>4933.5362613173229</v>
      </c>
      <c r="CC39" s="492">
        <f>R39</f>
        <v>4933.5362613173229</v>
      </c>
      <c r="CD39" s="492">
        <f>R39</f>
        <v>4933.5362613173229</v>
      </c>
      <c r="CE39" s="492">
        <f t="shared" si="108"/>
        <v>14800.608783951968</v>
      </c>
      <c r="CF39" s="222"/>
      <c r="CG39" s="532">
        <f>S39</f>
        <v>6019.1104436903106</v>
      </c>
      <c r="CH39" s="492">
        <f>S39</f>
        <v>6019.1104436903106</v>
      </c>
      <c r="CI39" s="492">
        <f>S39</f>
        <v>6019.1104436903106</v>
      </c>
      <c r="CJ39" s="492">
        <f t="shared" si="109"/>
        <v>18057.331331070931</v>
      </c>
      <c r="CK39" s="222"/>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row>
    <row r="40" spans="1:179" s="57" customFormat="1" ht="9.75" customHeight="1" x14ac:dyDescent="0.15">
      <c r="A40" s="488" t="s">
        <v>194</v>
      </c>
      <c r="B40" s="145">
        <v>0.25</v>
      </c>
      <c r="C40" s="126">
        <v>0</v>
      </c>
      <c r="D40" s="291"/>
      <c r="E40" s="624"/>
      <c r="F40" s="226">
        <v>0</v>
      </c>
      <c r="G40" s="492">
        <f>IF(IF(F49&gt;0,F49*((0*(IF(ISBLANK(E40),C40,E40)))+(IF(ISBLANK(D40),B40,D40))),0)&lt;0,0,IF(F49&gt;0,F49*((0*(IF(ISBLANK(E40),C40,E40)))+(IF(ISBLANK(D40),B40,D40))),0))/3</f>
        <v>0</v>
      </c>
      <c r="H40" s="492">
        <f>IF(IF(G49&gt;0,G49*((0*(IF(ISBLANK(E40),C40,E40)))+(IF(ISBLANK(D40),B40,D40))),0)&lt;0,0,IF(G49&gt;0,G49*((0*(IF(ISBLANK(E40),C40,E40)))+(IF(ISBLANK(D40),B40,D40))),0))/3</f>
        <v>0</v>
      </c>
      <c r="I40" s="492">
        <f>IF(IF(H49&gt;0,H49*((1*(IF(ISBLANK(E40),C40,E40)))+(IF(ISBLANK(D40),B40,D40))),0)&lt;0,0,IF(H49&gt;0,H49*((1*(IF(ISBLANK(E40),C40,E40)))+(IF(ISBLANK(D40),B40,D40))),0))/3</f>
        <v>0</v>
      </c>
      <c r="J40" s="217">
        <f t="shared" si="110"/>
        <v>0</v>
      </c>
      <c r="K40" s="492">
        <f>IF(IF(I49&gt;0,I49*((2*(IF(ISBLANK(E40),C40,E40)))+(IF(ISBLANK(D40),B40,D40))),0)&lt;0,0,IF(I49&gt;0,I49*((2*(IF(ISBLANK(E40),C40,E40)))+(IF(ISBLANK(D40),B40,D40))),0))/3</f>
        <v>0</v>
      </c>
      <c r="L40" s="492">
        <f>IF(IF(K49&gt;0,K49*((3*(IF(ISBLANK(E40),C40,E40)))+(IF(ISBLANK(D40),B40,D40))),0)&lt;0,0,IF(K49&gt;0,K49*((3*(IF(ISBLANK(E40),C40,E40)))+(IF(ISBLANK(D40),B40,D40))),0))/3</f>
        <v>0</v>
      </c>
      <c r="M40" s="492">
        <f>IF(IF(L49&gt;0,L49*((4*(IF(ISBLANK(E40),C40,E40)))+(IF(ISBLANK(D40),B40,D40))),0)&lt;0,0,IF(L49&gt;0,L49*((4*(IF(ISBLANK(E40),C40,E40)))+(IF(ISBLANK(D40),B40,D40))),0))/3</f>
        <v>0</v>
      </c>
      <c r="N40" s="492">
        <f>IF(IF(M49&gt;0,M49*((5*(IF(ISBLANK(E40),C40,E40)))+(IF(ISBLANK(D40),B40,D40))),0)&lt;0,0,IF(M49&gt;0,M49*((5*(IF(ISBLANK(E40),C40,E40)))+(IF(ISBLANK(D40),B40,D40))),0))/3</f>
        <v>0</v>
      </c>
      <c r="O40" s="217">
        <f t="shared" si="111"/>
        <v>0</v>
      </c>
      <c r="P40" s="492">
        <f>IF(IF(N49&gt;0,N49*((6*(IF(ISBLANK(E40),C40,E40)))+(IF(ISBLANK(D40),B40,D40))),0)&lt;0,0,IF(N49&gt;0,N49*((6*(IF(ISBLANK(E40),C40,E40)))+(IF(ISBLANK(D40),B40,D40))),0))/3</f>
        <v>0</v>
      </c>
      <c r="Q40" s="492">
        <f>IF(IF(P49&gt;0,P49*((7*(IF(ISBLANK(E40),C40,E40)))+(IF(ISBLANK(D40),B40,D40))),0)&lt;0,0,IF(P49&gt;0,P49*((7*(IF(ISBLANK(E40),C40,E40)))+(IF(ISBLANK(D40),B40,D40))),0))/3</f>
        <v>0</v>
      </c>
      <c r="R40" s="492">
        <f>IF(IF(Q49&gt;0,Q49*((8*(IF(ISBLANK(E40),C40,E40)))+(IF(ISBLANK(D40),B40,D40))),0)&lt;0,0,IF(Q49&gt;0,Q49*((8*(IF(ISBLANK(E40),C40,E40)))+(IF(ISBLANK(D40),B40,D40))),0))/3</f>
        <v>0</v>
      </c>
      <c r="S40" s="492">
        <f>IF(IF(R49&gt;0,R49*((9*(IF(ISBLANK(E40),C40,E40)))+(IF(ISBLANK(D40),B40,D40))),0)&lt;0,0,IF(R49&gt;0,R49*((9*(IF(ISBLANK(E40),C40,E40)))+(IF(ISBLANK(D40),B40,D40))),0))/3</f>
        <v>0</v>
      </c>
      <c r="T40" s="218">
        <f t="shared" si="112"/>
        <v>0</v>
      </c>
      <c r="U40" s="221"/>
      <c r="V40" s="239">
        <f>SUM(IF(S49&lt;0,0,S49*((10*(IF(ISBLANK(E40),C40,E40)))+(IF(ISBLANK(D40),B40,D40)))))</f>
        <v>0</v>
      </c>
      <c r="W40" s="217">
        <f>SUM(IF(V49&lt;0,0,V49*((11*(IF(ISBLANK(E40),C40,E40)))+(IF(ISBLANK(D40),B40,D40)))))</f>
        <v>52912.996855444828</v>
      </c>
      <c r="X40" s="242">
        <f>SUM(IF(W49&lt;0,0,W49*((12*(IF(ISBLANK(E40),C40,E40)))+(IF(ISBLANK(D40),B40,D40)))))</f>
        <v>254874.30390556884</v>
      </c>
      <c r="Y40" s="221"/>
      <c r="Z40" s="578">
        <v>0</v>
      </c>
      <c r="AA40" s="617"/>
      <c r="AB40" s="532">
        <f>F40</f>
        <v>0</v>
      </c>
      <c r="AC40" s="492">
        <f>F40</f>
        <v>0</v>
      </c>
      <c r="AD40" s="492">
        <f>F40</f>
        <v>0</v>
      </c>
      <c r="AE40" s="492">
        <f t="shared" si="98"/>
        <v>0</v>
      </c>
      <c r="AF40" s="222"/>
      <c r="AG40" s="532">
        <f>G40</f>
        <v>0</v>
      </c>
      <c r="AH40" s="492">
        <f>G40</f>
        <v>0</v>
      </c>
      <c r="AI40" s="492">
        <f>G40</f>
        <v>0</v>
      </c>
      <c r="AJ40" s="492">
        <f t="shared" si="99"/>
        <v>0</v>
      </c>
      <c r="AK40" s="222"/>
      <c r="AL40" s="532">
        <f>H40</f>
        <v>0</v>
      </c>
      <c r="AM40" s="492">
        <f>H40</f>
        <v>0</v>
      </c>
      <c r="AN40" s="492">
        <f>H40</f>
        <v>0</v>
      </c>
      <c r="AO40" s="492">
        <f t="shared" si="100"/>
        <v>0</v>
      </c>
      <c r="AP40" s="222"/>
      <c r="AQ40" s="532">
        <f>I40</f>
        <v>0</v>
      </c>
      <c r="AR40" s="492">
        <f>I40</f>
        <v>0</v>
      </c>
      <c r="AS40" s="492">
        <f>I40</f>
        <v>0</v>
      </c>
      <c r="AT40" s="492">
        <f t="shared" si="101"/>
        <v>0</v>
      </c>
      <c r="AU40" s="222"/>
      <c r="AV40" s="617"/>
      <c r="AW40" s="532">
        <f>K40</f>
        <v>0</v>
      </c>
      <c r="AX40" s="492">
        <f>K40</f>
        <v>0</v>
      </c>
      <c r="AY40" s="492">
        <f>K40</f>
        <v>0</v>
      </c>
      <c r="AZ40" s="492">
        <f t="shared" si="102"/>
        <v>0</v>
      </c>
      <c r="BA40" s="222"/>
      <c r="BB40" s="532">
        <f>L40</f>
        <v>0</v>
      </c>
      <c r="BC40" s="492">
        <f>L40</f>
        <v>0</v>
      </c>
      <c r="BD40" s="492">
        <f>L40</f>
        <v>0</v>
      </c>
      <c r="BE40" s="492">
        <f t="shared" si="103"/>
        <v>0</v>
      </c>
      <c r="BF40" s="222"/>
      <c r="BG40" s="532">
        <f>M40</f>
        <v>0</v>
      </c>
      <c r="BH40" s="492">
        <f>M40</f>
        <v>0</v>
      </c>
      <c r="BI40" s="492">
        <f>M40</f>
        <v>0</v>
      </c>
      <c r="BJ40" s="492">
        <f t="shared" si="104"/>
        <v>0</v>
      </c>
      <c r="BK40" s="222"/>
      <c r="BL40" s="532">
        <f>N40</f>
        <v>0</v>
      </c>
      <c r="BM40" s="492">
        <f>N40</f>
        <v>0</v>
      </c>
      <c r="BN40" s="492">
        <f>N40</f>
        <v>0</v>
      </c>
      <c r="BO40" s="492">
        <f t="shared" si="105"/>
        <v>0</v>
      </c>
      <c r="BP40" s="222"/>
      <c r="BQ40" s="221"/>
      <c r="BR40" s="532">
        <f>P40</f>
        <v>0</v>
      </c>
      <c r="BS40" s="492">
        <f>P40</f>
        <v>0</v>
      </c>
      <c r="BT40" s="492">
        <f>P40</f>
        <v>0</v>
      </c>
      <c r="BU40" s="492">
        <f t="shared" si="106"/>
        <v>0</v>
      </c>
      <c r="BV40" s="222"/>
      <c r="BW40" s="532">
        <f>Q40</f>
        <v>0</v>
      </c>
      <c r="BX40" s="492">
        <f>Q40</f>
        <v>0</v>
      </c>
      <c r="BY40" s="492">
        <f>Q40</f>
        <v>0</v>
      </c>
      <c r="BZ40" s="492">
        <f t="shared" si="107"/>
        <v>0</v>
      </c>
      <c r="CA40" s="222"/>
      <c r="CB40" s="532">
        <f>R40</f>
        <v>0</v>
      </c>
      <c r="CC40" s="492">
        <f>R40</f>
        <v>0</v>
      </c>
      <c r="CD40" s="492">
        <f>R40</f>
        <v>0</v>
      </c>
      <c r="CE40" s="492">
        <f t="shared" si="108"/>
        <v>0</v>
      </c>
      <c r="CF40" s="222"/>
      <c r="CG40" s="532">
        <f>S40</f>
        <v>0</v>
      </c>
      <c r="CH40" s="492">
        <f>S40</f>
        <v>0</v>
      </c>
      <c r="CI40" s="492">
        <f>S40</f>
        <v>0</v>
      </c>
      <c r="CJ40" s="492">
        <f t="shared" si="109"/>
        <v>0</v>
      </c>
      <c r="CK40" s="222"/>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row>
    <row r="41" spans="1:179" s="57" customFormat="1" ht="9.75" customHeight="1" x14ac:dyDescent="0.15">
      <c r="A41" s="488" t="s">
        <v>195</v>
      </c>
      <c r="B41" s="374">
        <v>500</v>
      </c>
      <c r="C41" s="371">
        <v>0</v>
      </c>
      <c r="D41" s="228"/>
      <c r="E41" s="229"/>
      <c r="F41" s="649">
        <v>1000</v>
      </c>
      <c r="G41" s="648">
        <f>SUM((IF(F49&gt;0,IF(ISBLANK(E41),C41,E41),0)+F41))</f>
        <v>1000</v>
      </c>
      <c r="H41" s="648">
        <v>500</v>
      </c>
      <c r="I41" s="492">
        <f>SUM((IF(H49&gt;0,IF(ISBLANK(E41),C41,E41),0)+H41))</f>
        <v>500</v>
      </c>
      <c r="J41" s="217">
        <f t="shared" si="110"/>
        <v>9000</v>
      </c>
      <c r="K41" s="492">
        <f>SUM((IF(I49&gt;0,IF(ISBLANK(E41),C41,E41),0)+I41))</f>
        <v>500</v>
      </c>
      <c r="L41" s="492">
        <f>SUM((IF(K49&gt;0,IF(ISBLANK(E41),C41,E41),0)+K41))</f>
        <v>500</v>
      </c>
      <c r="M41" s="492">
        <f>SUM((IF(L49&gt;0,IF(ISBLANK(E41),C41,E41),0)+L41))</f>
        <v>500</v>
      </c>
      <c r="N41" s="492">
        <f>SUM((IF(M49&gt;0,IF(ISBLANK(E41),C41,E41),0)+M41))</f>
        <v>500</v>
      </c>
      <c r="O41" s="217">
        <f t="shared" si="111"/>
        <v>6000</v>
      </c>
      <c r="P41" s="492">
        <f>SUM((IF(N49&gt;0,IF(ISBLANK(E41),C41,E41),0)+N41))</f>
        <v>500</v>
      </c>
      <c r="Q41" s="492">
        <f>SUM((IF(P49&gt;0,IF(ISBLANK(E41),C41,E41),0)+P41))</f>
        <v>500</v>
      </c>
      <c r="R41" s="492">
        <f>SUM((IF(Q49&gt;0,IF(ISBLANK(E41),C41,E41),0)+Q41))</f>
        <v>500</v>
      </c>
      <c r="S41" s="492">
        <f>SUM((IF(R49&gt;0,IF(ISBLANK(E41),C41,E41),0)+R41))</f>
        <v>500</v>
      </c>
      <c r="T41" s="218">
        <f t="shared" si="112"/>
        <v>6000</v>
      </c>
      <c r="U41" s="221"/>
      <c r="V41" s="239">
        <f>SUM((IF(S49&gt;0,IF(ISBLANK(E41),C41,E41),0)+S41))</f>
        <v>500</v>
      </c>
      <c r="W41" s="217">
        <f>SUM((IF(V49&gt;0,IF(ISBLANK(E41),C41,E41),0)+V41))</f>
        <v>500</v>
      </c>
      <c r="X41" s="242">
        <f>SUM((IF(W49&gt;0,IF(ISBLANK(E41),C41,E41),0)+W41))</f>
        <v>500</v>
      </c>
      <c r="Y41" s="221"/>
      <c r="Z41" s="578">
        <v>55000</v>
      </c>
      <c r="AA41" s="617"/>
      <c r="AB41" s="532">
        <f t="shared" si="113"/>
        <v>1000</v>
      </c>
      <c r="AC41" s="492">
        <f t="shared" si="114"/>
        <v>1000</v>
      </c>
      <c r="AD41" s="492">
        <f t="shared" si="115"/>
        <v>1000</v>
      </c>
      <c r="AE41" s="492">
        <f t="shared" si="98"/>
        <v>3000</v>
      </c>
      <c r="AF41" s="222"/>
      <c r="AG41" s="532">
        <f t="shared" si="116"/>
        <v>1000</v>
      </c>
      <c r="AH41" s="492">
        <f>G41</f>
        <v>1000</v>
      </c>
      <c r="AI41" s="492">
        <f>G41</f>
        <v>1000</v>
      </c>
      <c r="AJ41" s="492">
        <f t="shared" si="99"/>
        <v>3000</v>
      </c>
      <c r="AK41" s="222"/>
      <c r="AL41" s="532">
        <f>H41</f>
        <v>500</v>
      </c>
      <c r="AM41" s="492">
        <f>H41</f>
        <v>500</v>
      </c>
      <c r="AN41" s="492">
        <f>H41</f>
        <v>500</v>
      </c>
      <c r="AO41" s="492">
        <f t="shared" si="100"/>
        <v>1500</v>
      </c>
      <c r="AP41" s="222"/>
      <c r="AQ41" s="532">
        <f t="shared" si="122"/>
        <v>500</v>
      </c>
      <c r="AR41" s="492">
        <f t="shared" si="123"/>
        <v>500</v>
      </c>
      <c r="AS41" s="492">
        <f t="shared" si="124"/>
        <v>500</v>
      </c>
      <c r="AT41" s="492">
        <f t="shared" si="101"/>
        <v>1500</v>
      </c>
      <c r="AU41" s="222"/>
      <c r="AV41" s="617"/>
      <c r="AW41" s="532">
        <f t="shared" si="125"/>
        <v>500</v>
      </c>
      <c r="AX41" s="492">
        <f t="shared" si="126"/>
        <v>500</v>
      </c>
      <c r="AY41" s="492">
        <f t="shared" si="127"/>
        <v>500</v>
      </c>
      <c r="AZ41" s="492">
        <f t="shared" si="102"/>
        <v>1500</v>
      </c>
      <c r="BA41" s="222"/>
      <c r="BB41" s="532">
        <f t="shared" si="128"/>
        <v>500</v>
      </c>
      <c r="BC41" s="492">
        <f t="shared" si="129"/>
        <v>500</v>
      </c>
      <c r="BD41" s="492">
        <f t="shared" si="130"/>
        <v>500</v>
      </c>
      <c r="BE41" s="492">
        <f t="shared" si="103"/>
        <v>1500</v>
      </c>
      <c r="BF41" s="222"/>
      <c r="BG41" s="532">
        <f t="shared" si="131"/>
        <v>500</v>
      </c>
      <c r="BH41" s="492">
        <f t="shared" si="132"/>
        <v>500</v>
      </c>
      <c r="BI41" s="492">
        <f t="shared" si="133"/>
        <v>500</v>
      </c>
      <c r="BJ41" s="492">
        <f t="shared" si="104"/>
        <v>1500</v>
      </c>
      <c r="BK41" s="222"/>
      <c r="BL41" s="532">
        <f>N41</f>
        <v>500</v>
      </c>
      <c r="BM41" s="492">
        <f t="shared" si="135"/>
        <v>500</v>
      </c>
      <c r="BN41" s="492">
        <f t="shared" si="136"/>
        <v>500</v>
      </c>
      <c r="BO41" s="492">
        <f t="shared" si="105"/>
        <v>1500</v>
      </c>
      <c r="BP41" s="222"/>
      <c r="BQ41" s="221"/>
      <c r="BR41" s="532">
        <f t="shared" si="137"/>
        <v>500</v>
      </c>
      <c r="BS41" s="492">
        <f t="shared" si="138"/>
        <v>500</v>
      </c>
      <c r="BT41" s="492">
        <f t="shared" si="139"/>
        <v>500</v>
      </c>
      <c r="BU41" s="492">
        <f t="shared" si="106"/>
        <v>1500</v>
      </c>
      <c r="BV41" s="222"/>
      <c r="BW41" s="532">
        <f t="shared" si="140"/>
        <v>500</v>
      </c>
      <c r="BX41" s="492">
        <f t="shared" si="141"/>
        <v>500</v>
      </c>
      <c r="BY41" s="492">
        <f t="shared" si="142"/>
        <v>500</v>
      </c>
      <c r="BZ41" s="492">
        <f t="shared" si="107"/>
        <v>1500</v>
      </c>
      <c r="CA41" s="222"/>
      <c r="CB41" s="532">
        <f t="shared" si="143"/>
        <v>500</v>
      </c>
      <c r="CC41" s="492">
        <f t="shared" si="144"/>
        <v>500</v>
      </c>
      <c r="CD41" s="492">
        <f t="shared" si="145"/>
        <v>500</v>
      </c>
      <c r="CE41" s="492">
        <f t="shared" si="108"/>
        <v>1500</v>
      </c>
      <c r="CF41" s="222"/>
      <c r="CG41" s="532">
        <f t="shared" si="146"/>
        <v>500</v>
      </c>
      <c r="CH41" s="492">
        <f t="shared" si="147"/>
        <v>500</v>
      </c>
      <c r="CI41" s="492">
        <f t="shared" si="148"/>
        <v>500</v>
      </c>
      <c r="CJ41" s="492">
        <f t="shared" si="109"/>
        <v>1500</v>
      </c>
      <c r="CK41" s="222"/>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row>
    <row r="42" spans="1:179" s="57" customFormat="1" ht="9.75" customHeight="1" x14ac:dyDescent="0.15">
      <c r="A42" s="488" t="s">
        <v>196</v>
      </c>
      <c r="B42" s="374">
        <v>400</v>
      </c>
      <c r="C42" s="214">
        <v>0.01</v>
      </c>
      <c r="D42" s="228"/>
      <c r="E42" s="225"/>
      <c r="F42" s="491">
        <f>SUM((IF(ISBLANK(D42),B42,D42))+(IF(ISBLANK(E42),C42,E42)*F18))</f>
        <v>420.20864669146499</v>
      </c>
      <c r="G42" s="492">
        <f>SUM((IF(ISBLANK(D42),B42,D42))+(IF(ISBLANK(E42),C42,E42)*G18))</f>
        <v>448.33833617049766</v>
      </c>
      <c r="H42" s="492">
        <f>SUM((IF(ISBLANK(D42),B42,D42))+(IF(ISBLANK(E42),C42,E42)*H18))</f>
        <v>484.83700638609537</v>
      </c>
      <c r="I42" s="492">
        <f>SUM((IF(ISBLANK(D42),B42,D42))+(IF(ISBLANK(E42),C42,E42)*I18))</f>
        <v>508.65521167239922</v>
      </c>
      <c r="J42" s="217">
        <f t="shared" si="110"/>
        <v>5586.117602761371</v>
      </c>
      <c r="K42" s="492">
        <f>SUM((IF(ISBLANK(D42),B42,D42))+(IF(ISBLANK(E42),C42,E42)*K18))</f>
        <v>533.67396546158147</v>
      </c>
      <c r="L42" s="492">
        <f>SUM((IF(ISBLANK(D42),B42,D42))+(IF(ISBLANK(E42),C42,E42)*L18))</f>
        <v>555.27701315460172</v>
      </c>
      <c r="M42" s="492">
        <f>SUM((IF(ISBLANK(D42),B42,D42))+(IF(ISBLANK(E42),C42,E42)*M18))</f>
        <v>575.41582885207936</v>
      </c>
      <c r="N42" s="492">
        <f>SUM((IF(ISBLANK(D42),B42,D42))+(IF(ISBLANK(E42),C42,E42)*N18))</f>
        <v>595.24335023017341</v>
      </c>
      <c r="O42" s="217">
        <f t="shared" si="111"/>
        <v>6778.8304730953078</v>
      </c>
      <c r="P42" s="492">
        <f>SUM((IF(ISBLANK(D42),B42,D42))+(IF(ISBLANK(E42),C42,E42)*P18))</f>
        <v>617.51840816517108</v>
      </c>
      <c r="Q42" s="492">
        <f>SUM((IF(ISBLANK(D42),B42,D42))+(IF(ISBLANK(E42),C42,E42)*Q18))</f>
        <v>642.37375087590408</v>
      </c>
      <c r="R42" s="492">
        <f>SUM((IF(ISBLANK(D42),B42,D42))+(IF(ISBLANK(E42),C42,E42)*R18))</f>
        <v>670.03272753055012</v>
      </c>
      <c r="S42" s="492">
        <f>SUM((IF(ISBLANK(D42),B42,D42))+(IF(ISBLANK(E42),C42,E42)*S18))</f>
        <v>700.78977575977206</v>
      </c>
      <c r="T42" s="218">
        <f t="shared" si="112"/>
        <v>7892.1439869941923</v>
      </c>
      <c r="U42" s="221"/>
      <c r="V42" s="239">
        <f>SUM((IF(ISBLANK(D42),B42,D42))+(IF(ISBLANK(E42),C42,E42)*V18))*12</f>
        <v>15790.421435116168</v>
      </c>
      <c r="W42" s="217">
        <f>SUM((IF(ISBLANK(D42),B42,D42))+(IF(ISBLANK(E42),C42,E42)*W18))*12</f>
        <v>22573.402474938041</v>
      </c>
      <c r="X42" s="242">
        <f>SUM((IF(ISBLANK(D42),B42,D42))+(IF(ISBLANK(E42),C42,E42)*X18))*12</f>
        <v>28228.021708648299</v>
      </c>
      <c r="Y42" s="221"/>
      <c r="Z42" s="578">
        <f>SUM(10105+7000)</f>
        <v>17105</v>
      </c>
      <c r="AA42" s="617"/>
      <c r="AB42" s="532">
        <f t="shared" si="113"/>
        <v>420.20864669146499</v>
      </c>
      <c r="AC42" s="492">
        <f t="shared" si="114"/>
        <v>420.20864669146499</v>
      </c>
      <c r="AD42" s="492">
        <f t="shared" si="115"/>
        <v>420.20864669146499</v>
      </c>
      <c r="AE42" s="492">
        <f t="shared" si="98"/>
        <v>1260.625940074395</v>
      </c>
      <c r="AF42" s="222"/>
      <c r="AG42" s="532">
        <f t="shared" si="116"/>
        <v>448.33833617049766</v>
      </c>
      <c r="AH42" s="492">
        <f t="shared" si="117"/>
        <v>448.33833617049766</v>
      </c>
      <c r="AI42" s="492">
        <f t="shared" si="118"/>
        <v>448.33833617049766</v>
      </c>
      <c r="AJ42" s="492">
        <f t="shared" si="99"/>
        <v>1345.0150085114929</v>
      </c>
      <c r="AK42" s="222"/>
      <c r="AL42" s="532">
        <f t="shared" si="119"/>
        <v>484.83700638609537</v>
      </c>
      <c r="AM42" s="492">
        <f t="shared" si="120"/>
        <v>484.83700638609537</v>
      </c>
      <c r="AN42" s="492">
        <f t="shared" si="121"/>
        <v>484.83700638609537</v>
      </c>
      <c r="AO42" s="492">
        <f t="shared" si="100"/>
        <v>1454.5110191582862</v>
      </c>
      <c r="AP42" s="222"/>
      <c r="AQ42" s="532">
        <f t="shared" si="122"/>
        <v>508.65521167239922</v>
      </c>
      <c r="AR42" s="492">
        <f t="shared" si="123"/>
        <v>508.65521167239922</v>
      </c>
      <c r="AS42" s="492">
        <f t="shared" si="124"/>
        <v>508.65521167239922</v>
      </c>
      <c r="AT42" s="492">
        <f t="shared" si="101"/>
        <v>1525.9656350171977</v>
      </c>
      <c r="AU42" s="222"/>
      <c r="AV42" s="617"/>
      <c r="AW42" s="532">
        <f t="shared" si="125"/>
        <v>533.67396546158147</v>
      </c>
      <c r="AX42" s="492">
        <f t="shared" si="126"/>
        <v>533.67396546158147</v>
      </c>
      <c r="AY42" s="492">
        <f t="shared" si="127"/>
        <v>533.67396546158147</v>
      </c>
      <c r="AZ42" s="492">
        <f t="shared" si="102"/>
        <v>1601.0218963847444</v>
      </c>
      <c r="BA42" s="222"/>
      <c r="BB42" s="532">
        <f t="shared" si="128"/>
        <v>555.27701315460172</v>
      </c>
      <c r="BC42" s="492">
        <f t="shared" si="129"/>
        <v>555.27701315460172</v>
      </c>
      <c r="BD42" s="492">
        <f t="shared" si="130"/>
        <v>555.27701315460172</v>
      </c>
      <c r="BE42" s="492">
        <f t="shared" si="103"/>
        <v>1665.8310394638052</v>
      </c>
      <c r="BF42" s="222"/>
      <c r="BG42" s="532">
        <f t="shared" si="131"/>
        <v>575.41582885207936</v>
      </c>
      <c r="BH42" s="492">
        <f t="shared" si="132"/>
        <v>575.41582885207936</v>
      </c>
      <c r="BI42" s="492">
        <f t="shared" si="133"/>
        <v>575.41582885207936</v>
      </c>
      <c r="BJ42" s="492">
        <f t="shared" si="104"/>
        <v>1726.2474865562381</v>
      </c>
      <c r="BK42" s="222"/>
      <c r="BL42" s="532">
        <f t="shared" si="134"/>
        <v>595.24335023017341</v>
      </c>
      <c r="BM42" s="492">
        <f t="shared" si="135"/>
        <v>595.24335023017341</v>
      </c>
      <c r="BN42" s="492">
        <f t="shared" si="136"/>
        <v>595.24335023017341</v>
      </c>
      <c r="BO42" s="492">
        <f t="shared" si="105"/>
        <v>1785.7300506905203</v>
      </c>
      <c r="BP42" s="222"/>
      <c r="BQ42" s="221"/>
      <c r="BR42" s="532">
        <f t="shared" si="137"/>
        <v>617.51840816517108</v>
      </c>
      <c r="BS42" s="492">
        <f t="shared" si="138"/>
        <v>617.51840816517108</v>
      </c>
      <c r="BT42" s="492">
        <f t="shared" si="139"/>
        <v>617.51840816517108</v>
      </c>
      <c r="BU42" s="492">
        <f t="shared" si="106"/>
        <v>1852.5552244955134</v>
      </c>
      <c r="BV42" s="222"/>
      <c r="BW42" s="532">
        <f t="shared" si="140"/>
        <v>642.37375087590408</v>
      </c>
      <c r="BX42" s="492">
        <f t="shared" si="141"/>
        <v>642.37375087590408</v>
      </c>
      <c r="BY42" s="492">
        <f t="shared" si="142"/>
        <v>642.37375087590408</v>
      </c>
      <c r="BZ42" s="492">
        <f t="shared" si="107"/>
        <v>1927.1212526277122</v>
      </c>
      <c r="CA42" s="222"/>
      <c r="CB42" s="532">
        <f t="shared" si="143"/>
        <v>670.03272753055012</v>
      </c>
      <c r="CC42" s="492">
        <f t="shared" si="144"/>
        <v>670.03272753055012</v>
      </c>
      <c r="CD42" s="492">
        <f t="shared" si="145"/>
        <v>670.03272753055012</v>
      </c>
      <c r="CE42" s="492">
        <f t="shared" si="108"/>
        <v>2010.0981825916504</v>
      </c>
      <c r="CF42" s="222"/>
      <c r="CG42" s="532">
        <f t="shared" si="146"/>
        <v>700.78977575977206</v>
      </c>
      <c r="CH42" s="492">
        <f t="shared" si="147"/>
        <v>700.78977575977206</v>
      </c>
      <c r="CI42" s="492">
        <f t="shared" si="148"/>
        <v>700.78977575977206</v>
      </c>
      <c r="CJ42" s="492">
        <f t="shared" si="109"/>
        <v>2102.3693272793162</v>
      </c>
      <c r="CK42" s="222"/>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row>
    <row r="43" spans="1:179" s="57" customFormat="1" ht="9.75" customHeight="1" x14ac:dyDescent="0.15">
      <c r="A43" s="488" t="s">
        <v>197</v>
      </c>
      <c r="B43" s="167">
        <v>0</v>
      </c>
      <c r="C43" s="285">
        <v>0</v>
      </c>
      <c r="D43" s="291"/>
      <c r="E43" s="624"/>
      <c r="F43" s="226">
        <v>10000</v>
      </c>
      <c r="G43" s="227">
        <v>10000</v>
      </c>
      <c r="H43" s="648">
        <v>500</v>
      </c>
      <c r="I43" s="491">
        <f>SUM(IF(ISBLANK(D43),      (IF((1*(IF(ISBLANK(E43),C43,E43)) + B43) &lt; 0,     0,     (1*(IF(ISBLANK(E43),C43,E43)) + B43)   )),       (IF((1*(IF(ISBLANK(E43),C43,E43)) + D43) &lt; 0,     0,     (1*(IF(ISBLANK(E43),C43,E43)) + D43)   ))  )       *   (I30/3)+(H43))</f>
        <v>500</v>
      </c>
      <c r="J43" s="217">
        <f t="shared" si="110"/>
        <v>63000</v>
      </c>
      <c r="K43" s="492">
        <f>SUM(IF(ISBLANK(D43),      (IF((2*(IF(ISBLANK(E43),C43,E43)) + B43) &lt; 0,     0,     (2*(IF(ISBLANK(E43),C43,E43)) + B43)   )),       (IF((2*(IF(ISBLANK(E43),C43,E43)) + D43) &lt; 0,     0,     (2*(IF(ISBLANK(E43),C43,E43)) + D43)   ))  )       *   (K30/3)+(I43))</f>
        <v>500</v>
      </c>
      <c r="L43" s="492">
        <f>SUM(IF(ISBLANK(D43),      (IF((3*(IF(ISBLANK(E43),C43,E43)) + B43) &lt; 0,     0,     (3*(IF(ISBLANK(E43),C43,E43)) + B43)   )),       (IF((3*(IF(ISBLANK(E43),C43,E43)) + D43) &lt; 0,     0,     (3*(IF(ISBLANK(E43),C43,E43)) + D43)   ))  )       *   (L30/3)+(K43))</f>
        <v>500</v>
      </c>
      <c r="M43" s="492">
        <f>SUM(IF(ISBLANK(D43),      (IF((4*(IF(ISBLANK(E43),C43,E43)) + B43) &lt; 0,     0,     (4*(IF(ISBLANK(E43),C43,E43)) + B43)   )),       (IF((4*(IF(ISBLANK(E43),C43,E43)) + D43) &lt; 0,     0,     (4*(IF(ISBLANK(E43),C43,E43)) + D43)   ))  )       *   (M30/3)+(L43))</f>
        <v>500</v>
      </c>
      <c r="N43" s="492">
        <f>SUM(IF(ISBLANK(D43),      (IF((5*(IF(ISBLANK(E43),C43,E43)) + B43) &lt; 0,     0,     (5*(IF(ISBLANK(E43),C43,E43)) + B43)   )),       (IF((5*(IF(ISBLANK(E43),C43,E43)) + D43) &lt; 0,     0,     (5*(IF(ISBLANK(E43),C43,E43)) + D43)   ))  )       *   (N30/3)+(M43))</f>
        <v>500</v>
      </c>
      <c r="O43" s="217">
        <f t="shared" si="111"/>
        <v>6000</v>
      </c>
      <c r="P43" s="492">
        <f>SUM(IF(ISBLANK(D43),      (IF((6*(IF(ISBLANK(E43),C43,E43)) + B43) &lt; 0,     0,     (6*(IF(ISBLANK(E43),C43,E43)) + B43)   )),       (IF((6*(IF(ISBLANK(E43),C43,E43)) + D43) &lt; 0,     0,     (6*(IF(ISBLANK(E43),C43,E43)) + D43)   ))  )       *   (P30/3)+(N43))</f>
        <v>500</v>
      </c>
      <c r="Q43" s="492">
        <f>SUM(IF(ISBLANK(D43),      (IF((7*(IF(ISBLANK(E43),C43,E43)) + B43) &lt; 0,     0,     (7*(IF(ISBLANK(E43),C43,E43)) + B43)   )),       (IF((7*(IF(ISBLANK(E43),C43,E43)) + D43) &lt; 0,     0,     (7*(IF(ISBLANK(E43),C43,E43)) + D43)   ))  )       *   (Q30/3)+(P43))</f>
        <v>500</v>
      </c>
      <c r="R43" s="492">
        <f>SUM(IF(ISBLANK(D43),      (IF((8*(IF(ISBLANK(E43),C43,E43)) + B43) &lt; 0,     0,     (8*(IF(ISBLANK(E43),C43,E43)) + B43)   )),       (IF((8*(IF(ISBLANK(E43),C43,E43)) + D43) &lt; 0,     0,     (8*(IF(ISBLANK(E43),C43,E43)) + D43)   ))  )       *   (R30/3)+(Q43))</f>
        <v>500</v>
      </c>
      <c r="S43" s="492">
        <f>SUM(IF(ISBLANK(D43),      (IF((9*(IF(ISBLANK(E43),C43,E43)) + B43) &lt; 0,     0,     (9*(IF(ISBLANK(E43),C43,E43)) + B43)   )),       (IF((9*(IF(ISBLANK(E43),C43,E43)) + D43) &lt; 0,     0,     (9*(IF(ISBLANK(E43),C43,E43)) + D43)   ))  )       *   (S30/3)+(R43))</f>
        <v>500</v>
      </c>
      <c r="T43" s="218">
        <f t="shared" si="112"/>
        <v>6000</v>
      </c>
      <c r="U43" s="221"/>
      <c r="V43" s="239">
        <f>SUM(IF(ISBLANK(D43),      (IF((10*(IF(ISBLANK(E43),C43,E43)) + B43) &lt; 0,     0,     (10*(IF(ISBLANK(E43),C43,E43)) + B43)   )),       (IF((10*(IF(ISBLANK(E43),C43,E43)) + D43) &lt; 0,     0,     (10*(IF(ISBLANK(E43),C43,E43)) + D43)   ))  )       *   (V30)+(S43))*12</f>
        <v>6000</v>
      </c>
      <c r="W43" s="217">
        <f>SUM(IF(ISBLANK(D43),      (IF((11*(IF(ISBLANK(E43),C43,E43)) + B43) &lt; 0,     0,     (11*(IF(ISBLANK(E43),C43,E43)) + B43)   )),       (IF((11*(IF(ISBLANK(E43),C43,E43)) + D43) &lt; 0,     0,     (11*(IF(ISBLANK(E43),C43,E43)) + D43)   ))  )       *   (W30)+(V43))</f>
        <v>6000</v>
      </c>
      <c r="X43" s="242">
        <f>SUM(IF(ISBLANK(D43),      (IF((12*(IF(ISBLANK(E43),C43,E43)) + B43) &lt; 0,     0,     (12*(IF(ISBLANK(E43),C43,E43)) + B43)   )),       (IF((12*(IF(ISBLANK(E43),C43,E43)) + D43) &lt; 0,     0,     (12*(IF(ISBLANK(E43),C43,E43)) + D43)   ))  )       *   (X30)+(W43))</f>
        <v>6000</v>
      </c>
      <c r="Y43" s="221"/>
      <c r="Z43" s="578">
        <f>SUM(1150+61191+16520+16425+10520+4487)</f>
        <v>110293</v>
      </c>
      <c r="AA43" s="617"/>
      <c r="AB43" s="532">
        <f t="shared" si="113"/>
        <v>10000</v>
      </c>
      <c r="AC43" s="492">
        <f t="shared" si="114"/>
        <v>10000</v>
      </c>
      <c r="AD43" s="492">
        <f t="shared" si="115"/>
        <v>10000</v>
      </c>
      <c r="AE43" s="492">
        <f t="shared" si="98"/>
        <v>30000</v>
      </c>
      <c r="AF43" s="222"/>
      <c r="AG43" s="532">
        <f t="shared" si="116"/>
        <v>10000</v>
      </c>
      <c r="AH43" s="492">
        <f t="shared" si="117"/>
        <v>10000</v>
      </c>
      <c r="AI43" s="492">
        <f t="shared" si="118"/>
        <v>10000</v>
      </c>
      <c r="AJ43" s="492">
        <f t="shared" si="99"/>
        <v>30000</v>
      </c>
      <c r="AK43" s="222"/>
      <c r="AL43" s="532">
        <f t="shared" si="119"/>
        <v>500</v>
      </c>
      <c r="AM43" s="492">
        <f t="shared" si="120"/>
        <v>500</v>
      </c>
      <c r="AN43" s="492">
        <f t="shared" si="121"/>
        <v>500</v>
      </c>
      <c r="AO43" s="492">
        <f t="shared" si="100"/>
        <v>1500</v>
      </c>
      <c r="AP43" s="222"/>
      <c r="AQ43" s="532">
        <f t="shared" si="122"/>
        <v>500</v>
      </c>
      <c r="AR43" s="492">
        <f t="shared" si="123"/>
        <v>500</v>
      </c>
      <c r="AS43" s="492">
        <f t="shared" si="124"/>
        <v>500</v>
      </c>
      <c r="AT43" s="492">
        <f t="shared" si="101"/>
        <v>1500</v>
      </c>
      <c r="AU43" s="222"/>
      <c r="AV43" s="617"/>
      <c r="AW43" s="532">
        <f t="shared" si="125"/>
        <v>500</v>
      </c>
      <c r="AX43" s="492">
        <f t="shared" si="126"/>
        <v>500</v>
      </c>
      <c r="AY43" s="492">
        <f t="shared" si="127"/>
        <v>500</v>
      </c>
      <c r="AZ43" s="492">
        <f t="shared" si="102"/>
        <v>1500</v>
      </c>
      <c r="BA43" s="222"/>
      <c r="BB43" s="532">
        <f t="shared" si="128"/>
        <v>500</v>
      </c>
      <c r="BC43" s="492">
        <f t="shared" si="129"/>
        <v>500</v>
      </c>
      <c r="BD43" s="492">
        <f t="shared" si="130"/>
        <v>500</v>
      </c>
      <c r="BE43" s="492">
        <f t="shared" si="103"/>
        <v>1500</v>
      </c>
      <c r="BF43" s="222"/>
      <c r="BG43" s="532">
        <f t="shared" si="131"/>
        <v>500</v>
      </c>
      <c r="BH43" s="492">
        <f t="shared" si="132"/>
        <v>500</v>
      </c>
      <c r="BI43" s="492">
        <f t="shared" si="133"/>
        <v>500</v>
      </c>
      <c r="BJ43" s="492">
        <f t="shared" si="104"/>
        <v>1500</v>
      </c>
      <c r="BK43" s="222"/>
      <c r="BL43" s="532">
        <f t="shared" si="134"/>
        <v>500</v>
      </c>
      <c r="BM43" s="492">
        <f t="shared" si="135"/>
        <v>500</v>
      </c>
      <c r="BN43" s="492">
        <f t="shared" si="136"/>
        <v>500</v>
      </c>
      <c r="BO43" s="492">
        <f t="shared" si="105"/>
        <v>1500</v>
      </c>
      <c r="BP43" s="222"/>
      <c r="BQ43" s="221"/>
      <c r="BR43" s="532">
        <f t="shared" si="137"/>
        <v>500</v>
      </c>
      <c r="BS43" s="492">
        <f t="shared" si="138"/>
        <v>500</v>
      </c>
      <c r="BT43" s="492">
        <f t="shared" si="139"/>
        <v>500</v>
      </c>
      <c r="BU43" s="492">
        <f t="shared" si="106"/>
        <v>1500</v>
      </c>
      <c r="BV43" s="222"/>
      <c r="BW43" s="532">
        <f t="shared" si="140"/>
        <v>500</v>
      </c>
      <c r="BX43" s="492">
        <f t="shared" si="141"/>
        <v>500</v>
      </c>
      <c r="BY43" s="492">
        <f t="shared" si="142"/>
        <v>500</v>
      </c>
      <c r="BZ43" s="492">
        <f t="shared" si="107"/>
        <v>1500</v>
      </c>
      <c r="CA43" s="222"/>
      <c r="CB43" s="532">
        <f t="shared" si="143"/>
        <v>500</v>
      </c>
      <c r="CC43" s="492">
        <f t="shared" si="144"/>
        <v>500</v>
      </c>
      <c r="CD43" s="492">
        <f t="shared" si="145"/>
        <v>500</v>
      </c>
      <c r="CE43" s="492">
        <f t="shared" si="108"/>
        <v>1500</v>
      </c>
      <c r="CF43" s="222"/>
      <c r="CG43" s="532">
        <f t="shared" si="146"/>
        <v>500</v>
      </c>
      <c r="CH43" s="492">
        <f t="shared" si="147"/>
        <v>500</v>
      </c>
      <c r="CI43" s="492">
        <f t="shared" si="148"/>
        <v>500</v>
      </c>
      <c r="CJ43" s="492">
        <f t="shared" si="109"/>
        <v>1500</v>
      </c>
      <c r="CK43" s="222"/>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row>
    <row r="44" spans="1:179" s="57" customFormat="1" ht="9.75" customHeight="1" x14ac:dyDescent="0.15">
      <c r="A44" s="468" t="s">
        <v>198</v>
      </c>
      <c r="B44" s="300">
        <v>7</v>
      </c>
      <c r="C44" s="299">
        <v>0</v>
      </c>
      <c r="D44" s="632"/>
      <c r="E44" s="633"/>
      <c r="F44" s="651">
        <v>9</v>
      </c>
      <c r="G44" s="652">
        <v>8</v>
      </c>
      <c r="H44" s="650">
        <f>SUM((IF(ISBLANK(D44),B44,D44)))</f>
        <v>7</v>
      </c>
      <c r="I44" s="493">
        <f>SUM(H44+(IF(ISBLANK(E44),C44,E44)))</f>
        <v>7</v>
      </c>
      <c r="J44" s="219">
        <f>SUM((F44+G44+H44+I44)/4)</f>
        <v>7.75</v>
      </c>
      <c r="K44" s="493">
        <f>SUM(I44+(IF(ISBLANK(E44),C44,E44)))</f>
        <v>7</v>
      </c>
      <c r="L44" s="493">
        <f>SUM(K44+(IF(ISBLANK(E44),C44,E44)))</f>
        <v>7</v>
      </c>
      <c r="M44" s="493">
        <f>SUM(L44+(IF(ISBLANK(E44),C44,E44)))</f>
        <v>7</v>
      </c>
      <c r="N44" s="493">
        <f>SUM(M44+(IF(ISBLANK(E44),C44,E44)))</f>
        <v>7</v>
      </c>
      <c r="O44" s="219">
        <f>SUM(K44+L44+M44+N44)/4</f>
        <v>7</v>
      </c>
      <c r="P44" s="493">
        <f>SUM(N44+(IF(ISBLANK(E44),C44,E44)))</f>
        <v>7</v>
      </c>
      <c r="Q44" s="493">
        <f>SUM(P44+(IF(ISBLANK(E44),C44,E44)))</f>
        <v>7</v>
      </c>
      <c r="R44" s="493">
        <f>SUM(Q44+(IF(ISBLANK(E44),C44,E44)))</f>
        <v>7</v>
      </c>
      <c r="S44" s="493">
        <f>SUM(R44+(IF(ISBLANK(E44),C44,E44)))</f>
        <v>7</v>
      </c>
      <c r="T44" s="214">
        <f>SUM(P44+Q44+R44+S44)/4</f>
        <v>7</v>
      </c>
      <c r="U44" s="247"/>
      <c r="V44" s="213">
        <f>SUM(S44+(IF(ISBLANK(E44),C44,E44)))</f>
        <v>7</v>
      </c>
      <c r="W44" s="219">
        <f>SUM(V44+(IF(ISBLANK(E44),C44,E44)))</f>
        <v>7</v>
      </c>
      <c r="X44" s="220">
        <f>SUM(W44+(IF(ISBLANK(E44),C44,E44)))</f>
        <v>7</v>
      </c>
      <c r="Y44" s="247"/>
      <c r="Z44" s="581">
        <v>1.2</v>
      </c>
      <c r="AA44" s="619"/>
      <c r="AB44" s="495">
        <f>F44</f>
        <v>9</v>
      </c>
      <c r="AC44" s="493">
        <f>F44</f>
        <v>9</v>
      </c>
      <c r="AD44" s="493">
        <f>F44</f>
        <v>9</v>
      </c>
      <c r="AE44" s="493">
        <f>SUM((AB44+AC44+AD44)/3)</f>
        <v>9</v>
      </c>
      <c r="AF44" s="248"/>
      <c r="AG44" s="495">
        <f>G44</f>
        <v>8</v>
      </c>
      <c r="AH44" s="493">
        <f>G44</f>
        <v>8</v>
      </c>
      <c r="AI44" s="493">
        <f>G44</f>
        <v>8</v>
      </c>
      <c r="AJ44" s="493">
        <f>SUM((AG44+AH44+AI44)/3)</f>
        <v>8</v>
      </c>
      <c r="AK44" s="248"/>
      <c r="AL44" s="495">
        <f>H44</f>
        <v>7</v>
      </c>
      <c r="AM44" s="493">
        <f>H44</f>
        <v>7</v>
      </c>
      <c r="AN44" s="493">
        <f>H44</f>
        <v>7</v>
      </c>
      <c r="AO44" s="493">
        <f>SUM((AL44+AM44+AN44)/3)</f>
        <v>7</v>
      </c>
      <c r="AP44" s="248"/>
      <c r="AQ44" s="495">
        <f>I44</f>
        <v>7</v>
      </c>
      <c r="AR44" s="493">
        <f>I44</f>
        <v>7</v>
      </c>
      <c r="AS44" s="493">
        <f>I44</f>
        <v>7</v>
      </c>
      <c r="AT44" s="493">
        <f>SUM((AQ44+AR44+AS44)/3)</f>
        <v>7</v>
      </c>
      <c r="AU44" s="248"/>
      <c r="AV44" s="619"/>
      <c r="AW44" s="495">
        <f>K44</f>
        <v>7</v>
      </c>
      <c r="AX44" s="493">
        <f>K44</f>
        <v>7</v>
      </c>
      <c r="AY44" s="493">
        <f>K44</f>
        <v>7</v>
      </c>
      <c r="AZ44" s="493">
        <f>SUM((AW44+AX44+AY44)/3)</f>
        <v>7</v>
      </c>
      <c r="BA44" s="248"/>
      <c r="BB44" s="495">
        <f>L44</f>
        <v>7</v>
      </c>
      <c r="BC44" s="493">
        <f>L44</f>
        <v>7</v>
      </c>
      <c r="BD44" s="493">
        <f>L44</f>
        <v>7</v>
      </c>
      <c r="BE44" s="493">
        <f>SUM((BB44+BC44+BD44)/3)</f>
        <v>7</v>
      </c>
      <c r="BF44" s="248"/>
      <c r="BG44" s="495">
        <f>M44</f>
        <v>7</v>
      </c>
      <c r="BH44" s="493">
        <f>M44</f>
        <v>7</v>
      </c>
      <c r="BI44" s="493">
        <f>M44</f>
        <v>7</v>
      </c>
      <c r="BJ44" s="493">
        <f>SUM((BG44+BH44+BI44)/3)</f>
        <v>7</v>
      </c>
      <c r="BK44" s="248"/>
      <c r="BL44" s="495">
        <f>N44</f>
        <v>7</v>
      </c>
      <c r="BM44" s="493">
        <f>N44</f>
        <v>7</v>
      </c>
      <c r="BN44" s="493">
        <f>N44</f>
        <v>7</v>
      </c>
      <c r="BO44" s="493">
        <f>SUM((BL44+BM44+BN44)/3)</f>
        <v>7</v>
      </c>
      <c r="BP44" s="248"/>
      <c r="BQ44" s="247"/>
      <c r="BR44" s="495">
        <f>P44</f>
        <v>7</v>
      </c>
      <c r="BS44" s="493">
        <f>P44</f>
        <v>7</v>
      </c>
      <c r="BT44" s="493">
        <f>P44</f>
        <v>7</v>
      </c>
      <c r="BU44" s="493">
        <f>SUM((BR44+BS44+BT44)/3)</f>
        <v>7</v>
      </c>
      <c r="BV44" s="248"/>
      <c r="BW44" s="495">
        <f>Q44</f>
        <v>7</v>
      </c>
      <c r="BX44" s="493">
        <f>Q44</f>
        <v>7</v>
      </c>
      <c r="BY44" s="493">
        <f>Q44</f>
        <v>7</v>
      </c>
      <c r="BZ44" s="493">
        <f>SUM((BW44+BX44+BY44)/3)</f>
        <v>7</v>
      </c>
      <c r="CA44" s="248"/>
      <c r="CB44" s="495">
        <f>R44</f>
        <v>7</v>
      </c>
      <c r="CC44" s="493">
        <f>R44</f>
        <v>7</v>
      </c>
      <c r="CD44" s="493">
        <f>R44</f>
        <v>7</v>
      </c>
      <c r="CE44" s="493">
        <f>SUM((CB44+CC44+CD44)/3)</f>
        <v>7</v>
      </c>
      <c r="CF44" s="248"/>
      <c r="CG44" s="495">
        <f>S44</f>
        <v>7</v>
      </c>
      <c r="CH44" s="493">
        <f>S44</f>
        <v>7</v>
      </c>
      <c r="CI44" s="493">
        <f>S44</f>
        <v>7</v>
      </c>
      <c r="CJ44" s="493">
        <f>SUM((CG44+CH44+CI44)/3)</f>
        <v>7</v>
      </c>
      <c r="CK44" s="248"/>
    </row>
    <row r="45" spans="1:179" s="57" customFormat="1" ht="9.75" customHeight="1" x14ac:dyDescent="0.15">
      <c r="A45" s="488" t="s">
        <v>199</v>
      </c>
      <c r="B45" s="167">
        <v>0</v>
      </c>
      <c r="C45" s="371">
        <v>500000</v>
      </c>
      <c r="D45" s="291"/>
      <c r="E45" s="229"/>
      <c r="F45" s="226">
        <v>0</v>
      </c>
      <c r="G45" s="227">
        <v>0</v>
      </c>
      <c r="H45" s="492">
        <f>SUM(G45+(IF(IF(ISBLANK(D45),B45,D45)*(G30/3)&gt;(IF(ISBLANK(E45),C45,E45)),IF(ISBLANK(E45),C45,E45),IF(ISBLANK(D45),B45,D45)*(G30/3))))</f>
        <v>0</v>
      </c>
      <c r="I45" s="491">
        <f>SUM(G45+(IF(IF(ISBLANK(D45),B45,D45)*(H30/3)&gt;(IF(ISBLANK(E45),C45,E45)),IF(ISBLANK(E45),C45,E45),IF(ISBLANK(D45),B45,D45)*(H30/3))))</f>
        <v>0</v>
      </c>
      <c r="J45" s="217">
        <f t="shared" si="110"/>
        <v>0</v>
      </c>
      <c r="K45" s="492">
        <f>SUM(G45+(IF(IF(ISBLANK(D45),B45,D45)*(I30/3)&gt;(IF(ISBLANK(E45),C45,E45)),IF(ISBLANK(E45),C45,E45),IF(ISBLANK(D45),B45,D45)*(I30/3))))</f>
        <v>0</v>
      </c>
      <c r="L45" s="492">
        <f>SUM(G45+(IF(IF(ISBLANK(D45),B45,D45)*(K30/3)&gt;(IF(ISBLANK(E45),C45,E45)),IF(ISBLANK(E45),C45,E45),IF(ISBLANK(D45),B45,D45)*(K30/3))))</f>
        <v>0</v>
      </c>
      <c r="M45" s="492">
        <f>SUM(G45+(IF(IF(ISBLANK(D45),B45,D45)*(L30/3)&gt;(IF(ISBLANK(E45),C45,E45)),IF(ISBLANK(E45),C45,E45),IF(ISBLANK(D45),B45,D45)*(L30/3))))</f>
        <v>0</v>
      </c>
      <c r="N45" s="492">
        <f>SUM(G45+(IF(IF(ISBLANK(D45),B45,D45)*(M30/3)&gt;(IF(ISBLANK(E45),C45,E45)),IF(ISBLANK(E45),C45,E45),IF(ISBLANK(D45),B45,D45)*(M30/3))))</f>
        <v>0</v>
      </c>
      <c r="O45" s="217">
        <f t="shared" si="111"/>
        <v>0</v>
      </c>
      <c r="P45" s="492">
        <f>SUM(G45+(IF(IF(ISBLANK(D45),B45,D45)*(N30/3)&gt;(IF(ISBLANK(E45),C45,E45)),IF(ISBLANK(E45),C45,E45),IF(ISBLANK(D45),B45,D45)*(N30/3))))</f>
        <v>0</v>
      </c>
      <c r="Q45" s="492">
        <f>SUM(G45+(IF(IF(ISBLANK(D45),B45,D45)*(P30/3)&gt;(IF(ISBLANK(E45),C45,E45)),IF(ISBLANK(E45),C45,E45),IF(ISBLANK(D45),B45,D45)*(P30/3))))</f>
        <v>0</v>
      </c>
      <c r="R45" s="492">
        <f>SUM(G45+(IF(IF(ISBLANK(D45),B45,D45)*(Q30/3)&gt;(IF(ISBLANK(E45),C45,E45)),IF(ISBLANK(E45),C45,E45),IF(ISBLANK(D45),B45,D45)*(Q30/3))))</f>
        <v>0</v>
      </c>
      <c r="S45" s="492">
        <f>SUM(G45+(IF(IF(ISBLANK(D45),B45,D45)*(R30/3)&gt;(IF(ISBLANK(E45),C45,E45)),IF(ISBLANK(E45),C45,E45),IF(ISBLANK(D45),B45,D45)*(R30/3))))</f>
        <v>0</v>
      </c>
      <c r="T45" s="218">
        <f t="shared" si="112"/>
        <v>0</v>
      </c>
      <c r="U45" s="221"/>
      <c r="V45" s="239">
        <f>SUM(G45+(IF(IF(ISBLANK(D45),B45,D45)*(S30)&gt;(IF(ISBLANK(E45),C45,E45)),IF(ISBLANK(E45),C45,E45),IF(ISBLANK(D45),B45,D45)*(S30))))</f>
        <v>0</v>
      </c>
      <c r="W45" s="217">
        <f>SUM(G45+(IF(IF(ISBLANK(D45),B45,D45)*(V30)&gt;(IF(ISBLANK(E45),C45,E45)),IF(ISBLANK(E45),C45,E45),IF(ISBLANK(D45),B45,D45)*(V30))))</f>
        <v>0</v>
      </c>
      <c r="X45" s="242">
        <f>SUM(G45+(IF(IF(ISBLANK(D45),B45,D45)*(W30)&gt;(IF(ISBLANK(E45),C45,E45)),IF(ISBLANK(E45),C45,E45),IF(ISBLANK(D45),B45,D45)*(W30))))</f>
        <v>0</v>
      </c>
      <c r="Y45" s="221"/>
      <c r="Z45" s="578">
        <v>0</v>
      </c>
      <c r="AA45" s="617"/>
      <c r="AB45" s="532">
        <f t="shared" si="113"/>
        <v>0</v>
      </c>
      <c r="AC45" s="492">
        <f t="shared" si="114"/>
        <v>0</v>
      </c>
      <c r="AD45" s="492">
        <f t="shared" si="115"/>
        <v>0</v>
      </c>
      <c r="AE45" s="492">
        <f>SUM(AB45:AD45)</f>
        <v>0</v>
      </c>
      <c r="AF45" s="222"/>
      <c r="AG45" s="532">
        <f t="shared" si="116"/>
        <v>0</v>
      </c>
      <c r="AH45" s="492">
        <f t="shared" si="117"/>
        <v>0</v>
      </c>
      <c r="AI45" s="492">
        <f t="shared" si="118"/>
        <v>0</v>
      </c>
      <c r="AJ45" s="492">
        <f t="shared" si="99"/>
        <v>0</v>
      </c>
      <c r="AK45" s="222"/>
      <c r="AL45" s="532">
        <f t="shared" si="119"/>
        <v>0</v>
      </c>
      <c r="AM45" s="492">
        <f t="shared" si="120"/>
        <v>0</v>
      </c>
      <c r="AN45" s="492">
        <f t="shared" si="121"/>
        <v>0</v>
      </c>
      <c r="AO45" s="492">
        <f>SUM(AL45:AN45)</f>
        <v>0</v>
      </c>
      <c r="AP45" s="222"/>
      <c r="AQ45" s="532">
        <f t="shared" si="122"/>
        <v>0</v>
      </c>
      <c r="AR45" s="492">
        <f t="shared" si="123"/>
        <v>0</v>
      </c>
      <c r="AS45" s="492">
        <f t="shared" si="124"/>
        <v>0</v>
      </c>
      <c r="AT45" s="492">
        <f>SUM(AQ45:AS45)</f>
        <v>0</v>
      </c>
      <c r="AU45" s="222"/>
      <c r="AV45" s="617"/>
      <c r="AW45" s="532">
        <f t="shared" si="125"/>
        <v>0</v>
      </c>
      <c r="AX45" s="492">
        <f t="shared" si="126"/>
        <v>0</v>
      </c>
      <c r="AY45" s="492">
        <f t="shared" si="127"/>
        <v>0</v>
      </c>
      <c r="AZ45" s="492">
        <f>SUM(AW45:AY45)</f>
        <v>0</v>
      </c>
      <c r="BA45" s="222"/>
      <c r="BB45" s="532">
        <f t="shared" si="128"/>
        <v>0</v>
      </c>
      <c r="BC45" s="492">
        <f t="shared" si="129"/>
        <v>0</v>
      </c>
      <c r="BD45" s="492">
        <f t="shared" si="130"/>
        <v>0</v>
      </c>
      <c r="BE45" s="492">
        <f>SUM(BB45:BD45)</f>
        <v>0</v>
      </c>
      <c r="BF45" s="222"/>
      <c r="BG45" s="532">
        <f t="shared" si="131"/>
        <v>0</v>
      </c>
      <c r="BH45" s="492">
        <f t="shared" si="132"/>
        <v>0</v>
      </c>
      <c r="BI45" s="492">
        <f t="shared" si="133"/>
        <v>0</v>
      </c>
      <c r="BJ45" s="492">
        <f>SUM(BG45:BI45)</f>
        <v>0</v>
      </c>
      <c r="BK45" s="222"/>
      <c r="BL45" s="532">
        <f t="shared" si="134"/>
        <v>0</v>
      </c>
      <c r="BM45" s="492">
        <f t="shared" si="135"/>
        <v>0</v>
      </c>
      <c r="BN45" s="492">
        <f t="shared" si="136"/>
        <v>0</v>
      </c>
      <c r="BO45" s="492">
        <f>SUM(BL45:BN45)</f>
        <v>0</v>
      </c>
      <c r="BP45" s="222"/>
      <c r="BQ45" s="221"/>
      <c r="BR45" s="532">
        <f t="shared" si="137"/>
        <v>0</v>
      </c>
      <c r="BS45" s="492">
        <f>P45</f>
        <v>0</v>
      </c>
      <c r="BT45" s="492">
        <f t="shared" si="139"/>
        <v>0</v>
      </c>
      <c r="BU45" s="492">
        <f>SUM(BR45:BT45)</f>
        <v>0</v>
      </c>
      <c r="BV45" s="222"/>
      <c r="BW45" s="532">
        <f t="shared" si="140"/>
        <v>0</v>
      </c>
      <c r="BX45" s="492">
        <f t="shared" si="141"/>
        <v>0</v>
      </c>
      <c r="BY45" s="492">
        <f t="shared" si="142"/>
        <v>0</v>
      </c>
      <c r="BZ45" s="492">
        <f>SUM(BW45:BY45)</f>
        <v>0</v>
      </c>
      <c r="CA45" s="222"/>
      <c r="CB45" s="532">
        <f t="shared" si="143"/>
        <v>0</v>
      </c>
      <c r="CC45" s="492">
        <f t="shared" si="144"/>
        <v>0</v>
      </c>
      <c r="CD45" s="492">
        <f t="shared" si="145"/>
        <v>0</v>
      </c>
      <c r="CE45" s="492">
        <f>SUM(CB45:CD45)</f>
        <v>0</v>
      </c>
      <c r="CF45" s="222"/>
      <c r="CG45" s="532">
        <f t="shared" si="146"/>
        <v>0</v>
      </c>
      <c r="CH45" s="492">
        <f t="shared" si="147"/>
        <v>0</v>
      </c>
      <c r="CI45" s="492">
        <f t="shared" si="148"/>
        <v>0</v>
      </c>
      <c r="CJ45" s="492">
        <f>SUM(CG45:CI45)</f>
        <v>0</v>
      </c>
      <c r="CK45" s="222"/>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row>
    <row r="46" spans="1:179" s="57" customFormat="1" ht="9.75" customHeight="1" x14ac:dyDescent="0.15">
      <c r="A46" s="488" t="s">
        <v>200</v>
      </c>
      <c r="B46" s="374">
        <v>0</v>
      </c>
      <c r="C46" s="218"/>
      <c r="D46" s="228"/>
      <c r="E46" s="229"/>
      <c r="F46" s="226">
        <v>1000</v>
      </c>
      <c r="G46" s="227">
        <f>SUM((IF(ISBLANK(D46),B46,D46)/3)*0.35)</f>
        <v>0</v>
      </c>
      <c r="H46" s="492">
        <f>SUM((IF(ISBLANK(D46),B46,D46)/3)*0.3)</f>
        <v>0</v>
      </c>
      <c r="I46" s="491">
        <f>SUM((IF(ISBLANK(D46),B46,D46)/3)*0.2)</f>
        <v>0</v>
      </c>
      <c r="J46" s="217">
        <f>SUM(F46:I46)*3</f>
        <v>3000</v>
      </c>
      <c r="K46" s="492">
        <f>SUM((IF(ISBLANK(D46),B46,D46)/3)*0.15)</f>
        <v>0</v>
      </c>
      <c r="L46" s="492">
        <v>0</v>
      </c>
      <c r="M46" s="492">
        <v>0</v>
      </c>
      <c r="N46" s="492">
        <v>0</v>
      </c>
      <c r="O46" s="217">
        <f>SUM(K46:N46)*3</f>
        <v>0</v>
      </c>
      <c r="P46" s="492">
        <v>0</v>
      </c>
      <c r="Q46" s="492">
        <v>0</v>
      </c>
      <c r="R46" s="492">
        <v>0</v>
      </c>
      <c r="S46" s="492">
        <v>0</v>
      </c>
      <c r="T46" s="218">
        <f>SUM(P46:S46)*3</f>
        <v>0</v>
      </c>
      <c r="U46" s="221"/>
      <c r="V46" s="239">
        <v>0</v>
      </c>
      <c r="W46" s="217">
        <v>0</v>
      </c>
      <c r="X46" s="242">
        <v>0</v>
      </c>
      <c r="Y46" s="221"/>
      <c r="Z46" s="578">
        <v>2000</v>
      </c>
      <c r="AA46" s="617"/>
      <c r="AB46" s="532">
        <f t="shared" si="113"/>
        <v>1000</v>
      </c>
      <c r="AC46" s="492">
        <f t="shared" si="114"/>
        <v>1000</v>
      </c>
      <c r="AD46" s="492">
        <f t="shared" si="115"/>
        <v>1000</v>
      </c>
      <c r="AE46" s="492">
        <f>SUM(AB46:AD46)</f>
        <v>3000</v>
      </c>
      <c r="AF46" s="222"/>
      <c r="AG46" s="532">
        <f t="shared" si="116"/>
        <v>0</v>
      </c>
      <c r="AH46" s="492">
        <f t="shared" si="117"/>
        <v>0</v>
      </c>
      <c r="AI46" s="492">
        <f t="shared" si="118"/>
        <v>0</v>
      </c>
      <c r="AJ46" s="492">
        <f t="shared" si="99"/>
        <v>0</v>
      </c>
      <c r="AK46" s="222"/>
      <c r="AL46" s="532">
        <f t="shared" si="119"/>
        <v>0</v>
      </c>
      <c r="AM46" s="492">
        <f t="shared" si="120"/>
        <v>0</v>
      </c>
      <c r="AN46" s="492">
        <f t="shared" si="121"/>
        <v>0</v>
      </c>
      <c r="AO46" s="492">
        <f>SUM(AL46:AN46)</f>
        <v>0</v>
      </c>
      <c r="AP46" s="222"/>
      <c r="AQ46" s="532">
        <f t="shared" si="122"/>
        <v>0</v>
      </c>
      <c r="AR46" s="492">
        <f t="shared" si="123"/>
        <v>0</v>
      </c>
      <c r="AS46" s="492">
        <f t="shared" si="124"/>
        <v>0</v>
      </c>
      <c r="AT46" s="492">
        <f>SUM(AQ46:AS46)</f>
        <v>0</v>
      </c>
      <c r="AU46" s="222"/>
      <c r="AV46" s="617"/>
      <c r="AW46" s="532">
        <f t="shared" si="125"/>
        <v>0</v>
      </c>
      <c r="AX46" s="492">
        <f t="shared" si="126"/>
        <v>0</v>
      </c>
      <c r="AY46" s="492">
        <f t="shared" si="127"/>
        <v>0</v>
      </c>
      <c r="AZ46" s="492">
        <f>SUM(AW46:AY46)</f>
        <v>0</v>
      </c>
      <c r="BA46" s="222"/>
      <c r="BB46" s="532">
        <f t="shared" si="128"/>
        <v>0</v>
      </c>
      <c r="BC46" s="492">
        <f t="shared" si="129"/>
        <v>0</v>
      </c>
      <c r="BD46" s="492">
        <f t="shared" si="130"/>
        <v>0</v>
      </c>
      <c r="BE46" s="492">
        <f>SUM(BB46:BD46)</f>
        <v>0</v>
      </c>
      <c r="BF46" s="222"/>
      <c r="BG46" s="532">
        <f t="shared" si="131"/>
        <v>0</v>
      </c>
      <c r="BH46" s="492">
        <f t="shared" si="132"/>
        <v>0</v>
      </c>
      <c r="BI46" s="492">
        <f t="shared" si="133"/>
        <v>0</v>
      </c>
      <c r="BJ46" s="492">
        <f>SUM(BG46:BI46)</f>
        <v>0</v>
      </c>
      <c r="BK46" s="222"/>
      <c r="BL46" s="532">
        <f t="shared" si="134"/>
        <v>0</v>
      </c>
      <c r="BM46" s="492">
        <f t="shared" si="135"/>
        <v>0</v>
      </c>
      <c r="BN46" s="492">
        <f t="shared" si="136"/>
        <v>0</v>
      </c>
      <c r="BO46" s="492">
        <f>SUM(BL46:BN46)</f>
        <v>0</v>
      </c>
      <c r="BP46" s="222"/>
      <c r="BQ46" s="221"/>
      <c r="BR46" s="532">
        <f t="shared" si="137"/>
        <v>0</v>
      </c>
      <c r="BS46" s="492">
        <f>P46</f>
        <v>0</v>
      </c>
      <c r="BT46" s="492">
        <f t="shared" si="139"/>
        <v>0</v>
      </c>
      <c r="BU46" s="492">
        <f>SUM(BR46:BT46)</f>
        <v>0</v>
      </c>
      <c r="BV46" s="222"/>
      <c r="BW46" s="532">
        <f t="shared" si="140"/>
        <v>0</v>
      </c>
      <c r="BX46" s="492">
        <f t="shared" si="141"/>
        <v>0</v>
      </c>
      <c r="BY46" s="492">
        <f t="shared" si="142"/>
        <v>0</v>
      </c>
      <c r="BZ46" s="492">
        <f>SUM(BW46:BY46)</f>
        <v>0</v>
      </c>
      <c r="CA46" s="222"/>
      <c r="CB46" s="532">
        <f t="shared" si="143"/>
        <v>0</v>
      </c>
      <c r="CC46" s="492">
        <f t="shared" si="144"/>
        <v>0</v>
      </c>
      <c r="CD46" s="492">
        <f t="shared" si="145"/>
        <v>0</v>
      </c>
      <c r="CE46" s="492">
        <f>SUM(CB46:CD46)</f>
        <v>0</v>
      </c>
      <c r="CF46" s="222"/>
      <c r="CG46" s="532">
        <f t="shared" si="146"/>
        <v>0</v>
      </c>
      <c r="CH46" s="492">
        <f t="shared" si="147"/>
        <v>0</v>
      </c>
      <c r="CI46" s="492">
        <f t="shared" si="148"/>
        <v>0</v>
      </c>
      <c r="CJ46" s="492">
        <f>SUM(CG46:CI46)</f>
        <v>0</v>
      </c>
      <c r="CK46" s="222"/>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row>
    <row r="47" spans="1:179" s="57" customFormat="1" ht="9.75" customHeight="1" x14ac:dyDescent="0.15">
      <c r="A47" s="421" t="s">
        <v>239</v>
      </c>
      <c r="B47" s="249"/>
      <c r="C47" s="250"/>
      <c r="D47" s="249"/>
      <c r="E47" s="251"/>
      <c r="F47" s="419">
        <f>AE47</f>
        <v>118887.62594007439</v>
      </c>
      <c r="G47" s="420">
        <f>AJ47</f>
        <v>115969.01500851149</v>
      </c>
      <c r="H47" s="420">
        <f>AO47</f>
        <v>31759.658007803017</v>
      </c>
      <c r="I47" s="420">
        <f>AT47</f>
        <v>33674.370558020455</v>
      </c>
      <c r="J47" s="211">
        <f>SUM(F47:I47)</f>
        <v>300290.66951440938</v>
      </c>
      <c r="K47" s="420">
        <f>AZ47</f>
        <v>51728.491618498578</v>
      </c>
      <c r="L47" s="420">
        <f>BE47</f>
        <v>54496.655136013651</v>
      </c>
      <c r="M47" s="420">
        <f>BJ47</f>
        <v>57606.11132726878</v>
      </c>
      <c r="N47" s="420">
        <f>BO47</f>
        <v>61052.775913375102</v>
      </c>
      <c r="O47" s="211">
        <f>SUM(K47:N47)</f>
        <v>224884.03399515612</v>
      </c>
      <c r="P47" s="420">
        <f>BU47</f>
        <v>71151.713358515437</v>
      </c>
      <c r="Q47" s="420">
        <f>BZ47</f>
        <v>84997.761967929837</v>
      </c>
      <c r="R47" s="420">
        <f>CE47</f>
        <v>105813.53148651216</v>
      </c>
      <c r="S47" s="420">
        <f>CJ47</f>
        <v>127531.68475280351</v>
      </c>
      <c r="T47" s="230">
        <f>SUM(P47:S47)</f>
        <v>389494.69156576094</v>
      </c>
      <c r="U47" s="232"/>
      <c r="V47" s="231">
        <f>SUM(V33:V45)</f>
        <v>846840.67153514444</v>
      </c>
      <c r="W47" s="211">
        <f>SUM(W33:W45)</f>
        <v>1353518.2569571973</v>
      </c>
      <c r="X47" s="212">
        <f>SUM(X33:X45)</f>
        <v>2063234.2917070407</v>
      </c>
      <c r="Y47" s="232"/>
      <c r="Z47" s="579">
        <f>SUM(Z33:Z46)</f>
        <v>1083618.2</v>
      </c>
      <c r="AA47" s="618"/>
      <c r="AB47" s="535">
        <f>SUM(AB33:AB46)</f>
        <v>39629.208646691462</v>
      </c>
      <c r="AC47" s="420">
        <f>SUM(AC33:AC46)</f>
        <v>39629.208646691462</v>
      </c>
      <c r="AD47" s="420">
        <f>SUM(AD33:AD46)</f>
        <v>39629.208646691462</v>
      </c>
      <c r="AE47" s="211">
        <f>SUM(AB47:AD47)</f>
        <v>118887.62594007439</v>
      </c>
      <c r="AF47" s="212"/>
      <c r="AG47" s="535">
        <f>SUM(AG33:AG46)</f>
        <v>38656.338336170498</v>
      </c>
      <c r="AH47" s="420">
        <f>SUM(AH33:AH46)</f>
        <v>38656.338336170498</v>
      </c>
      <c r="AI47" s="420">
        <f>SUM(AI33:AI46)</f>
        <v>38656.338336170498</v>
      </c>
      <c r="AJ47" s="211">
        <f>SUM(AG47:AI47)</f>
        <v>115969.01500851149</v>
      </c>
      <c r="AK47" s="212"/>
      <c r="AL47" s="535">
        <f>SUM(AL33:AL46)</f>
        <v>10586.552669267672</v>
      </c>
      <c r="AM47" s="420">
        <f>SUM(AM33:AM46)</f>
        <v>10586.552669267672</v>
      </c>
      <c r="AN47" s="420">
        <f>SUM(AN33:AN46)</f>
        <v>10586.552669267672</v>
      </c>
      <c r="AO47" s="211">
        <f>SUM(AL47:AN47)</f>
        <v>31759.658007803017</v>
      </c>
      <c r="AP47" s="212"/>
      <c r="AQ47" s="535">
        <f>SUM(AQ33:AQ46)</f>
        <v>11224.790186006818</v>
      </c>
      <c r="AR47" s="420">
        <f>SUM(AR33:AR46)</f>
        <v>11224.790186006818</v>
      </c>
      <c r="AS47" s="420">
        <f>SUM(AS33:AS46)</f>
        <v>11224.790186006818</v>
      </c>
      <c r="AT47" s="211">
        <f>SUM(AQ47:AS47)</f>
        <v>33674.370558020455</v>
      </c>
      <c r="AU47" s="212"/>
      <c r="AV47" s="618"/>
      <c r="AW47" s="535">
        <f>SUM(AW33:AW46)</f>
        <v>17242.830539499526</v>
      </c>
      <c r="AX47" s="420">
        <f>SUM(AX33:AX46)</f>
        <v>17242.830539499526</v>
      </c>
      <c r="AY47" s="420">
        <f>SUM(AY33:AY46)</f>
        <v>17242.830539499526</v>
      </c>
      <c r="AZ47" s="211">
        <f>SUM(AW47:AY47)</f>
        <v>51728.491618498578</v>
      </c>
      <c r="BA47" s="212"/>
      <c r="BB47" s="535">
        <f>SUM(BB33:BB46)</f>
        <v>18165.551712004552</v>
      </c>
      <c r="BC47" s="420">
        <f>SUM(BC33:BC46)</f>
        <v>18165.551712004552</v>
      </c>
      <c r="BD47" s="420">
        <f>SUM(BD33:BD46)</f>
        <v>18165.551712004552</v>
      </c>
      <c r="BE47" s="211">
        <f>SUM(BB47:BD47)</f>
        <v>54496.655136013651</v>
      </c>
      <c r="BF47" s="212"/>
      <c r="BG47" s="535">
        <f>SUM(BG33:BG46)</f>
        <v>19202.037109089593</v>
      </c>
      <c r="BH47" s="420">
        <f>SUM(BH33:BH46)</f>
        <v>19202.037109089593</v>
      </c>
      <c r="BI47" s="420">
        <f>SUM(BI33:BI46)</f>
        <v>19202.037109089593</v>
      </c>
      <c r="BJ47" s="211">
        <f>SUM(BG47:BI47)</f>
        <v>57606.11132726878</v>
      </c>
      <c r="BK47" s="212"/>
      <c r="BL47" s="535">
        <f>SUM(BL33:BL46)</f>
        <v>20350.925304458367</v>
      </c>
      <c r="BM47" s="420">
        <f>SUM(BM33:BM46)</f>
        <v>20350.925304458367</v>
      </c>
      <c r="BN47" s="420">
        <f>SUM(BN33:BN46)</f>
        <v>20350.925304458367</v>
      </c>
      <c r="BO47" s="211">
        <f>SUM(BL47:BN47)</f>
        <v>61052.775913375102</v>
      </c>
      <c r="BP47" s="212"/>
      <c r="BQ47" s="232"/>
      <c r="BR47" s="535">
        <f>SUM(BR33:BR46)</f>
        <v>23717.237786171812</v>
      </c>
      <c r="BS47" s="420">
        <f>SUM(BS33:BS46)</f>
        <v>23717.237786171812</v>
      </c>
      <c r="BT47" s="420">
        <f>SUM(BT33:BT46)</f>
        <v>23717.237786171812</v>
      </c>
      <c r="BU47" s="211">
        <f>SUM(BR47:BT47)</f>
        <v>71151.713358515437</v>
      </c>
      <c r="BV47" s="212"/>
      <c r="BW47" s="535">
        <f>SUM(BW33:BW46)</f>
        <v>28332.587322643278</v>
      </c>
      <c r="BX47" s="420">
        <f>SUM(BX33:BX46)</f>
        <v>28332.587322643278</v>
      </c>
      <c r="BY47" s="420">
        <f>SUM(BY33:BY46)</f>
        <v>28332.587322643278</v>
      </c>
      <c r="BZ47" s="211">
        <f>SUM(BW47:BY47)</f>
        <v>84997.761967929837</v>
      </c>
      <c r="CA47" s="212"/>
      <c r="CB47" s="535">
        <f>SUM(CB33:CB46)</f>
        <v>35271.177162170723</v>
      </c>
      <c r="CC47" s="420">
        <f>SUM(CC33:CC46)</f>
        <v>35271.177162170723</v>
      </c>
      <c r="CD47" s="420">
        <f>SUM(CD33:CD46)</f>
        <v>35271.177162170723</v>
      </c>
      <c r="CE47" s="211">
        <f>SUM(CB47:CD47)</f>
        <v>105813.53148651216</v>
      </c>
      <c r="CF47" s="212"/>
      <c r="CG47" s="535">
        <f>SUM(CG33:CG46)</f>
        <v>42510.561584267838</v>
      </c>
      <c r="CH47" s="420">
        <f>SUM(CH33:CH46)</f>
        <v>42510.561584267838</v>
      </c>
      <c r="CI47" s="420">
        <f>SUM(CI33:CI46)</f>
        <v>42510.561584267838</v>
      </c>
      <c r="CJ47" s="211">
        <f>SUM(CG47:CI47)</f>
        <v>127531.68475280351</v>
      </c>
      <c r="CK47" s="212"/>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row>
    <row r="48" spans="1:179" s="55" customFormat="1" ht="4.5" customHeight="1" thickBot="1" x14ac:dyDescent="0.2">
      <c r="A48" s="252"/>
      <c r="B48" s="192"/>
      <c r="C48" s="197"/>
      <c r="D48" s="192"/>
      <c r="E48" s="193"/>
      <c r="F48" s="253"/>
      <c r="G48" s="254"/>
      <c r="H48" s="254"/>
      <c r="I48" s="254"/>
      <c r="J48" s="254"/>
      <c r="K48" s="254"/>
      <c r="L48" s="254"/>
      <c r="M48" s="254"/>
      <c r="N48" s="254"/>
      <c r="O48" s="254"/>
      <c r="P48" s="254"/>
      <c r="Q48" s="254"/>
      <c r="R48" s="254"/>
      <c r="S48" s="254"/>
      <c r="T48" s="255"/>
      <c r="U48" s="258"/>
      <c r="V48" s="256"/>
      <c r="W48" s="254"/>
      <c r="X48" s="257"/>
      <c r="Y48" s="258"/>
      <c r="Z48" s="582"/>
      <c r="AA48" s="620"/>
      <c r="AB48" s="595"/>
      <c r="AC48" s="259"/>
      <c r="AD48" s="259"/>
      <c r="AE48" s="259"/>
      <c r="AF48" s="600"/>
      <c r="AG48" s="595"/>
      <c r="AH48" s="259"/>
      <c r="AI48" s="259"/>
      <c r="AJ48" s="259"/>
      <c r="AK48" s="600"/>
      <c r="AL48" s="595"/>
      <c r="AM48" s="259"/>
      <c r="AN48" s="259"/>
      <c r="AO48" s="259"/>
      <c r="AP48" s="600"/>
      <c r="AQ48" s="595"/>
      <c r="AR48" s="259"/>
      <c r="AS48" s="259"/>
      <c r="AT48" s="259"/>
      <c r="AU48" s="600"/>
      <c r="AV48" s="620"/>
      <c r="AW48" s="595"/>
      <c r="AX48" s="259"/>
      <c r="AY48" s="259"/>
      <c r="AZ48" s="259"/>
      <c r="BA48" s="600"/>
      <c r="BB48" s="595"/>
      <c r="BC48" s="259"/>
      <c r="BD48" s="259"/>
      <c r="BE48" s="259"/>
      <c r="BF48" s="600"/>
      <c r="BG48" s="595"/>
      <c r="BH48" s="259"/>
      <c r="BI48" s="259"/>
      <c r="BJ48" s="259"/>
      <c r="BK48" s="600"/>
      <c r="BL48" s="595"/>
      <c r="BM48" s="259"/>
      <c r="BN48" s="259"/>
      <c r="BO48" s="259"/>
      <c r="BP48" s="600"/>
      <c r="BQ48" s="258"/>
      <c r="BR48" s="595"/>
      <c r="BS48" s="259"/>
      <c r="BT48" s="259"/>
      <c r="BU48" s="259"/>
      <c r="BV48" s="600"/>
      <c r="BW48" s="595"/>
      <c r="BX48" s="259"/>
      <c r="BY48" s="259"/>
      <c r="BZ48" s="259"/>
      <c r="CA48" s="600"/>
      <c r="CB48" s="595"/>
      <c r="CC48" s="259"/>
      <c r="CD48" s="259"/>
      <c r="CE48" s="259"/>
      <c r="CF48" s="600"/>
      <c r="CG48" s="595"/>
      <c r="CH48" s="259"/>
      <c r="CI48" s="259"/>
      <c r="CJ48" s="260"/>
      <c r="CK48" s="261"/>
    </row>
    <row r="49" spans="1:179" s="57" customFormat="1" ht="15" customHeight="1" thickBot="1" x14ac:dyDescent="0.2">
      <c r="A49" s="433" t="s">
        <v>221</v>
      </c>
      <c r="B49" s="262"/>
      <c r="C49" s="263"/>
      <c r="D49" s="262"/>
      <c r="E49" s="264"/>
      <c r="F49" s="265">
        <f>AE49</f>
        <v>-118887.62594007439</v>
      </c>
      <c r="G49" s="266">
        <f>AJ49</f>
        <v>-115969.01500851149</v>
      </c>
      <c r="H49" s="266">
        <f>AO49</f>
        <v>-27312.501378987239</v>
      </c>
      <c r="I49" s="266">
        <f>AT49</f>
        <v>-19946.528974579858</v>
      </c>
      <c r="J49" s="267">
        <f>SUM(F49:I49)</f>
        <v>-282115.67130215297</v>
      </c>
      <c r="K49" s="266">
        <f>AZ49</f>
        <v>-30884.094140896977</v>
      </c>
      <c r="L49" s="268">
        <f>BE49</f>
        <v>-25457.474272497537</v>
      </c>
      <c r="M49" s="268">
        <f>BJ49</f>
        <v>-19474.688402210595</v>
      </c>
      <c r="N49" s="268">
        <f>BO49</f>
        <v>-12761.686387286194</v>
      </c>
      <c r="O49" s="267">
        <f>SUM(K49:N49)</f>
        <v>-88577.9432028913</v>
      </c>
      <c r="P49" s="268">
        <f>BU49</f>
        <v>-11048.7585761019</v>
      </c>
      <c r="Q49" s="268">
        <f>BZ49</f>
        <v>-10994.718048169991</v>
      </c>
      <c r="R49" s="268">
        <f>CE49</f>
        <v>-15526.874831157518</v>
      </c>
      <c r="S49" s="268">
        <f>CJ49</f>
        <v>-18230.50466015446</v>
      </c>
      <c r="T49" s="269">
        <f>SUM(P49:S49)</f>
        <v>-55800.856115583869</v>
      </c>
      <c r="U49" s="272"/>
      <c r="V49" s="270">
        <f>SUM(V30-V47)</f>
        <v>211651.98742177931</v>
      </c>
      <c r="W49" s="267">
        <f>SUM(W30-W47)</f>
        <v>1019497.2156222754</v>
      </c>
      <c r="X49" s="271">
        <f>SUM(X30-X47)</f>
        <v>1747897.4452746958</v>
      </c>
      <c r="Y49" s="272"/>
      <c r="Z49" s="583">
        <f>SUM(Z30-Z47)</f>
        <v>-1083618.2</v>
      </c>
      <c r="AA49" s="621"/>
      <c r="AB49" s="596">
        <f>AB30-AB47</f>
        <v>-39629.208646691462</v>
      </c>
      <c r="AC49" s="273">
        <f>AC30-AC47</f>
        <v>-39629.208646691462</v>
      </c>
      <c r="AD49" s="273">
        <f>AD30-AD47</f>
        <v>-39629.208646691462</v>
      </c>
      <c r="AE49" s="274">
        <f>AE30-AE47</f>
        <v>-118887.62594007439</v>
      </c>
      <c r="AF49" s="601"/>
      <c r="AG49" s="596">
        <f>AG30-AG47</f>
        <v>-38656.338336170498</v>
      </c>
      <c r="AH49" s="273">
        <f>AH30-AH47</f>
        <v>-38656.338336170498</v>
      </c>
      <c r="AI49" s="273">
        <f>AI30-AI47</f>
        <v>-38656.338336170498</v>
      </c>
      <c r="AJ49" s="274">
        <f>AJ30-AJ47</f>
        <v>-115969.01500851149</v>
      </c>
      <c r="AK49" s="601"/>
      <c r="AL49" s="596">
        <f>AL30-AL47</f>
        <v>-9331.7097784951056</v>
      </c>
      <c r="AM49" s="273">
        <f>AM30-AM47</f>
        <v>-9090.9790589463701</v>
      </c>
      <c r="AN49" s="273">
        <f>AN30-AN47</f>
        <v>-8889.8125415457635</v>
      </c>
      <c r="AO49" s="274">
        <f>AO30-AO47</f>
        <v>-27312.501378987239</v>
      </c>
      <c r="AP49" s="601"/>
      <c r="AQ49" s="596">
        <f>AQ30-AQ47</f>
        <v>-6982.2347989306272</v>
      </c>
      <c r="AR49" s="273">
        <f>AR30-AR47</f>
        <v>-6628.9885149003785</v>
      </c>
      <c r="AS49" s="273">
        <f>AS30-AS47</f>
        <v>-6335.3056607488525</v>
      </c>
      <c r="AT49" s="274">
        <f>AT30-AT47</f>
        <v>-19946.528974579858</v>
      </c>
      <c r="AU49" s="601"/>
      <c r="AV49" s="621"/>
      <c r="AW49" s="596">
        <f>AW30-AW47</f>
        <v>-10723.547893210802</v>
      </c>
      <c r="AX49" s="273">
        <f>AX30-AX47</f>
        <v>-10269.783808573629</v>
      </c>
      <c r="AY49" s="273">
        <f>AY30-AY47</f>
        <v>-9890.7624391125464</v>
      </c>
      <c r="AZ49" s="274">
        <f>AZ30-AZ47</f>
        <v>-30884.094140896977</v>
      </c>
      <c r="BA49" s="601"/>
      <c r="BB49" s="596">
        <f>BB30-BB47</f>
        <v>-8924.0862019513843</v>
      </c>
      <c r="BC49" s="273">
        <f>BC30-BC47</f>
        <v>-8460.8422135907203</v>
      </c>
      <c r="BD49" s="273">
        <f>BD30-BD47</f>
        <v>-8072.5458569554357</v>
      </c>
      <c r="BE49" s="274">
        <f>BE30-BE47</f>
        <v>-25457.474272497537</v>
      </c>
      <c r="BF49" s="601"/>
      <c r="BG49" s="596">
        <f>BG30-BG47</f>
        <v>-6963.6635590827264</v>
      </c>
      <c r="BH49" s="273">
        <f>BH30-BH47</f>
        <v>-6465.1748979442218</v>
      </c>
      <c r="BI49" s="273">
        <f>BI30-BI47</f>
        <v>-6045.8499451836469</v>
      </c>
      <c r="BJ49" s="274">
        <f>BJ30-BJ47</f>
        <v>-19474.688402210595</v>
      </c>
      <c r="BK49" s="601"/>
      <c r="BL49" s="596">
        <f>BL30-BL47</f>
        <v>-4781.4465822564143</v>
      </c>
      <c r="BM49" s="273">
        <f>BM30-BM47</f>
        <v>-4224.999270136148</v>
      </c>
      <c r="BN49" s="273">
        <f>BN30-BN47</f>
        <v>-3755.2405348936263</v>
      </c>
      <c r="BO49" s="274">
        <f>BO30-BO47</f>
        <v>-12761.686387286194</v>
      </c>
      <c r="BP49" s="601"/>
      <c r="BQ49" s="272"/>
      <c r="BR49" s="596">
        <f>BR30-BR47</f>
        <v>-4347.5405606361965</v>
      </c>
      <c r="BS49" s="273">
        <f>BS30-BS47</f>
        <v>-3648.2290049851435</v>
      </c>
      <c r="BT49" s="273">
        <f>BT30-BT47</f>
        <v>-3052.98901048056</v>
      </c>
      <c r="BU49" s="274">
        <f>BU30-BU47</f>
        <v>-11048.7585761019</v>
      </c>
      <c r="BV49" s="601"/>
      <c r="BW49" s="596">
        <f>BW30-BW47</f>
        <v>-4487.2825988686636</v>
      </c>
      <c r="BX49" s="273">
        <f>BX30-BX47</f>
        <v>-3624.0919686279631</v>
      </c>
      <c r="BY49" s="273">
        <f>BY30-BY47</f>
        <v>-2883.3434806733567</v>
      </c>
      <c r="BZ49" s="274">
        <f>BZ30-BZ47</f>
        <v>-10994.718048169991</v>
      </c>
      <c r="CA49" s="601"/>
      <c r="CB49" s="596">
        <f>CB30-CB47</f>
        <v>-6181.1713183740321</v>
      </c>
      <c r="CC49" s="273">
        <f>CC30-CC47</f>
        <v>-5128.2900166260333</v>
      </c>
      <c r="CD49" s="273">
        <f>CD30-CD47</f>
        <v>-4217.41349615746</v>
      </c>
      <c r="CE49" s="274">
        <f>CE30-CE47</f>
        <v>-15526.874831157518</v>
      </c>
      <c r="CF49" s="601"/>
      <c r="CG49" s="596">
        <f>CG30-CG47</f>
        <v>-7296.1234215313743</v>
      </c>
      <c r="CH49" s="273">
        <f>CH30-CH47</f>
        <v>-6022.5416243267537</v>
      </c>
      <c r="CI49" s="273">
        <f>CI30-CI47</f>
        <v>-4911.839614296332</v>
      </c>
      <c r="CJ49" s="267">
        <f>CJ30-CJ47</f>
        <v>-18230.50466015446</v>
      </c>
      <c r="CK49" s="271"/>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row>
    <row r="50" spans="1:179" s="57" customFormat="1" ht="9.75" customHeight="1" x14ac:dyDescent="0.15">
      <c r="A50" s="54"/>
      <c r="B50" s="275"/>
      <c r="C50" s="275"/>
      <c r="D50" s="44"/>
      <c r="E50" s="44"/>
      <c r="F50" s="44"/>
      <c r="G50" s="44"/>
      <c r="H50" s="44"/>
      <c r="I50" s="44"/>
      <c r="J50" s="276"/>
      <c r="K50" s="44"/>
      <c r="L50" s="44"/>
      <c r="M50" s="44"/>
      <c r="N50" s="44"/>
      <c r="O50" s="276"/>
      <c r="P50" s="44"/>
      <c r="Q50" s="44"/>
      <c r="R50" s="44"/>
      <c r="S50" s="44"/>
      <c r="T50" s="44"/>
      <c r="U50" s="44"/>
      <c r="V50" s="44"/>
      <c r="W50" s="44"/>
      <c r="X50" s="44"/>
      <c r="Y50" s="276"/>
      <c r="Z50" s="276"/>
      <c r="AA50" s="276"/>
      <c r="AB50" s="54"/>
      <c r="AC50" s="55"/>
      <c r="AD50" s="55"/>
      <c r="AE50" s="55"/>
      <c r="AF50" s="55"/>
      <c r="AG50" s="55"/>
      <c r="AH50" s="55"/>
      <c r="AI50" s="55"/>
      <c r="AJ50" s="55"/>
      <c r="AK50" s="55"/>
      <c r="AL50" s="55"/>
      <c r="AM50" s="55"/>
      <c r="AN50" s="55"/>
      <c r="AO50" s="56"/>
      <c r="AP50" s="56"/>
      <c r="AQ50" s="56"/>
      <c r="AR50" s="56"/>
      <c r="AS50" s="56"/>
      <c r="AT50" s="56"/>
      <c r="AU50" s="56"/>
      <c r="AV50" s="276"/>
      <c r="AW50" s="56"/>
      <c r="AX50" s="56"/>
      <c r="AZ50" s="58"/>
      <c r="BA50" s="58"/>
      <c r="BB50" s="56"/>
      <c r="BC50" s="56"/>
      <c r="BD50" s="56"/>
      <c r="BE50" s="56"/>
      <c r="BF50" s="56"/>
      <c r="BG50" s="56"/>
      <c r="BH50" s="56"/>
      <c r="BI50" s="56"/>
      <c r="BJ50" s="56"/>
      <c r="BK50" s="56"/>
      <c r="BL50" s="56"/>
      <c r="BM50" s="56"/>
      <c r="BN50" s="56"/>
      <c r="BO50" s="56"/>
      <c r="BP50" s="56"/>
      <c r="BQ50" s="276"/>
      <c r="BR50" s="56"/>
      <c r="BS50" s="56"/>
      <c r="BU50" s="58"/>
      <c r="BV50" s="58"/>
      <c r="BW50" s="56"/>
      <c r="BX50" s="56"/>
      <c r="BY50" s="56"/>
      <c r="BZ50" s="56"/>
      <c r="CA50" s="56"/>
      <c r="CB50" s="56"/>
      <c r="CC50" s="56"/>
      <c r="CD50" s="56"/>
      <c r="CE50" s="56"/>
      <c r="CF50" s="56"/>
      <c r="CG50" s="56"/>
      <c r="CH50" s="56"/>
      <c r="CI50" s="56"/>
      <c r="CJ50" s="56"/>
      <c r="CK50" s="56"/>
    </row>
    <row r="51" spans="1:179" s="57" customFormat="1" ht="9.75" customHeight="1" x14ac:dyDescent="0.15">
      <c r="A51" s="277"/>
      <c r="B51" s="278"/>
      <c r="C51" s="278"/>
      <c r="D51" s="44"/>
      <c r="E51" s="44"/>
      <c r="F51" s="44"/>
      <c r="G51" s="44"/>
      <c r="H51" s="44"/>
      <c r="I51" s="44"/>
      <c r="J51" s="53"/>
      <c r="K51" s="44"/>
      <c r="L51" s="44"/>
      <c r="M51" s="44"/>
      <c r="N51" s="44"/>
      <c r="O51" s="53"/>
      <c r="P51" s="44"/>
      <c r="Q51" s="44"/>
      <c r="R51" s="44"/>
      <c r="S51" s="44"/>
      <c r="T51" s="44"/>
      <c r="U51" s="44"/>
      <c r="V51" s="44"/>
      <c r="W51" s="44"/>
      <c r="X51" s="44"/>
      <c r="Y51" s="53"/>
      <c r="Z51" s="53"/>
      <c r="AA51" s="53"/>
      <c r="AB51" s="54"/>
      <c r="AC51" s="55"/>
      <c r="AD51" s="55"/>
      <c r="AE51" s="55"/>
      <c r="AF51" s="55"/>
      <c r="AG51" s="55"/>
      <c r="AH51" s="55"/>
      <c r="AI51" s="55"/>
      <c r="AJ51" s="55"/>
      <c r="AK51" s="55"/>
      <c r="AL51" s="55"/>
      <c r="AM51" s="55"/>
      <c r="AN51" s="55"/>
      <c r="AO51" s="56"/>
      <c r="AP51" s="56"/>
      <c r="AQ51" s="56"/>
      <c r="AR51" s="56"/>
      <c r="AS51" s="56"/>
      <c r="AT51" s="56"/>
      <c r="AU51" s="56"/>
      <c r="AV51" s="53"/>
      <c r="AW51" s="56"/>
      <c r="AX51" s="56"/>
      <c r="AZ51" s="58"/>
      <c r="BA51" s="58"/>
      <c r="BB51" s="56"/>
      <c r="BC51" s="56"/>
      <c r="BD51" s="56"/>
      <c r="BE51" s="56"/>
      <c r="BF51" s="56"/>
      <c r="BG51" s="56"/>
      <c r="BH51" s="56"/>
      <c r="BI51" s="56"/>
      <c r="BJ51" s="56"/>
      <c r="BK51" s="56"/>
      <c r="BL51" s="56"/>
      <c r="BM51" s="56"/>
      <c r="BN51" s="56"/>
      <c r="BO51" s="56"/>
      <c r="BP51" s="56"/>
      <c r="BQ51" s="53"/>
      <c r="BR51" s="56"/>
      <c r="BS51" s="56"/>
      <c r="BU51" s="58"/>
      <c r="BV51" s="58"/>
      <c r="BW51" s="56"/>
      <c r="BX51" s="56"/>
      <c r="BY51" s="56"/>
      <c r="BZ51" s="56"/>
      <c r="CA51" s="56"/>
      <c r="CB51" s="56"/>
      <c r="CC51" s="56"/>
      <c r="CD51" s="56"/>
      <c r="CE51" s="56"/>
      <c r="CF51" s="56"/>
      <c r="CG51" s="56"/>
      <c r="CH51" s="56"/>
      <c r="CI51" s="56"/>
      <c r="CJ51" s="56"/>
      <c r="CK51" s="56"/>
    </row>
    <row r="52" spans="1:179" s="57" customFormat="1" ht="9.75" customHeight="1" x14ac:dyDescent="0.15">
      <c r="A52" s="279"/>
      <c r="B52" s="278"/>
      <c r="C52" s="278"/>
      <c r="D52" s="44"/>
      <c r="E52" s="44"/>
      <c r="F52" s="44"/>
      <c r="G52" s="44"/>
      <c r="H52" s="44"/>
      <c r="I52" s="44"/>
      <c r="J52" s="53"/>
      <c r="K52" s="44"/>
      <c r="L52" s="44"/>
      <c r="M52" s="44"/>
      <c r="N52" s="44"/>
      <c r="O52" s="53"/>
      <c r="P52" s="44"/>
      <c r="Q52" s="44"/>
      <c r="R52" s="44"/>
      <c r="S52" s="44"/>
      <c r="T52" s="44"/>
      <c r="U52" s="44"/>
      <c r="V52" s="44"/>
      <c r="W52" s="44"/>
      <c r="X52" s="44"/>
      <c r="Y52" s="53"/>
      <c r="Z52" s="53"/>
      <c r="AA52" s="53"/>
      <c r="AB52" s="54"/>
      <c r="AC52" s="55"/>
      <c r="AD52" s="55"/>
      <c r="AE52" s="55"/>
      <c r="AF52" s="55"/>
      <c r="AG52" s="55"/>
      <c r="AH52" s="55"/>
      <c r="AI52" s="55"/>
      <c r="AJ52" s="55"/>
      <c r="AK52" s="55"/>
      <c r="AL52" s="55"/>
      <c r="AM52" s="55"/>
      <c r="AN52" s="55"/>
      <c r="AO52" s="56"/>
      <c r="AP52" s="56"/>
      <c r="AQ52" s="56"/>
      <c r="AR52" s="56"/>
      <c r="AS52" s="56"/>
      <c r="AT52" s="56"/>
      <c r="AU52" s="56"/>
      <c r="AV52" s="53"/>
      <c r="AW52" s="56"/>
      <c r="AX52" s="56"/>
      <c r="AZ52" s="58"/>
      <c r="BA52" s="58"/>
      <c r="BB52" s="56"/>
      <c r="BC52" s="56"/>
      <c r="BD52" s="56"/>
      <c r="BE52" s="56"/>
      <c r="BF52" s="56"/>
      <c r="BG52" s="56"/>
      <c r="BH52" s="56"/>
      <c r="BI52" s="56"/>
      <c r="BJ52" s="56"/>
      <c r="BK52" s="56"/>
      <c r="BL52" s="56"/>
      <c r="BM52" s="56"/>
      <c r="BN52" s="56"/>
      <c r="BO52" s="56"/>
      <c r="BP52" s="56"/>
      <c r="BQ52" s="53"/>
      <c r="BR52" s="56"/>
      <c r="BS52" s="56"/>
      <c r="BU52" s="58"/>
      <c r="BV52" s="58"/>
      <c r="BW52" s="56"/>
      <c r="BX52" s="56"/>
      <c r="BY52" s="56"/>
      <c r="BZ52" s="56"/>
      <c r="CA52" s="56"/>
      <c r="CB52" s="56"/>
      <c r="CC52" s="56"/>
      <c r="CD52" s="56"/>
      <c r="CE52" s="56"/>
      <c r="CF52" s="56"/>
      <c r="CG52" s="56"/>
      <c r="CH52" s="56"/>
      <c r="CI52" s="56"/>
      <c r="CJ52" s="56"/>
      <c r="CK52" s="56"/>
    </row>
    <row r="53" spans="1:179" s="57" customFormat="1" ht="9.75" customHeight="1" x14ac:dyDescent="0.15">
      <c r="A53" s="70"/>
      <c r="B53" s="278"/>
      <c r="C53" s="278"/>
      <c r="D53" s="44"/>
      <c r="E53" s="44"/>
      <c r="F53" s="44"/>
      <c r="G53" s="44"/>
      <c r="H53" s="44"/>
      <c r="I53" s="44"/>
      <c r="J53" s="53"/>
      <c r="K53" s="44"/>
      <c r="L53" s="44"/>
      <c r="M53" s="44"/>
      <c r="N53" s="44"/>
      <c r="O53" s="53"/>
      <c r="P53" s="44"/>
      <c r="Q53" s="44"/>
      <c r="R53" s="44"/>
      <c r="S53" s="44"/>
      <c r="T53" s="44"/>
      <c r="U53" s="44"/>
      <c r="V53" s="44"/>
      <c r="W53" s="44"/>
      <c r="X53" s="44"/>
      <c r="Y53" s="53"/>
      <c r="Z53" s="53"/>
      <c r="AA53" s="53"/>
      <c r="AB53" s="54"/>
      <c r="AC53" s="55"/>
      <c r="AD53" s="55"/>
      <c r="AE53" s="55"/>
      <c r="AF53" s="55"/>
      <c r="AG53" s="55"/>
      <c r="AH53" s="55"/>
      <c r="AI53" s="55"/>
      <c r="AJ53" s="55"/>
      <c r="AK53" s="55"/>
      <c r="AL53" s="55"/>
      <c r="AM53" s="55"/>
      <c r="AN53" s="55"/>
      <c r="AO53" s="56"/>
      <c r="AP53" s="56"/>
      <c r="AQ53" s="56"/>
      <c r="AR53" s="56"/>
      <c r="AS53" s="56"/>
      <c r="AT53" s="56"/>
      <c r="AU53" s="56"/>
      <c r="AV53" s="53"/>
      <c r="AW53" s="56"/>
      <c r="AX53" s="56"/>
      <c r="AZ53" s="58"/>
      <c r="BA53" s="58"/>
      <c r="BB53" s="56"/>
      <c r="BC53" s="56"/>
      <c r="BD53" s="56"/>
      <c r="BE53" s="56"/>
      <c r="BF53" s="56"/>
      <c r="BG53" s="56"/>
      <c r="BH53" s="56"/>
      <c r="BI53" s="56"/>
      <c r="BJ53" s="56"/>
      <c r="BK53" s="56"/>
      <c r="BL53" s="56"/>
      <c r="BM53" s="56"/>
      <c r="BN53" s="56"/>
      <c r="BO53" s="56"/>
      <c r="BP53" s="56"/>
      <c r="BQ53" s="53"/>
      <c r="BR53" s="56"/>
      <c r="BS53" s="56"/>
      <c r="BU53" s="58"/>
      <c r="BV53" s="58"/>
      <c r="BW53" s="56"/>
      <c r="BX53" s="56"/>
      <c r="BY53" s="56"/>
      <c r="BZ53" s="56"/>
      <c r="CA53" s="56"/>
      <c r="CB53" s="56"/>
      <c r="CC53" s="56"/>
      <c r="CD53" s="56"/>
      <c r="CE53" s="56"/>
      <c r="CF53" s="56"/>
      <c r="CG53" s="56"/>
      <c r="CH53" s="56"/>
      <c r="CI53" s="56"/>
      <c r="CJ53" s="56"/>
      <c r="CK53" s="56"/>
    </row>
    <row r="54" spans="1:179" s="57" customFormat="1" ht="9.75" customHeight="1" x14ac:dyDescent="0.15">
      <c r="A54" s="277"/>
      <c r="B54" s="280"/>
      <c r="C54" s="280"/>
      <c r="D54" s="44"/>
      <c r="E54" s="44"/>
      <c r="F54" s="44"/>
      <c r="G54" s="44"/>
      <c r="H54" s="44"/>
      <c r="I54" s="44"/>
      <c r="J54" s="53"/>
      <c r="K54" s="44"/>
      <c r="L54" s="44"/>
      <c r="M54" s="44"/>
      <c r="N54" s="44"/>
      <c r="O54" s="53"/>
      <c r="P54" s="44"/>
      <c r="Q54" s="44"/>
      <c r="R54" s="44"/>
      <c r="S54" s="44"/>
      <c r="T54" s="44"/>
      <c r="U54" s="44"/>
      <c r="V54" s="44"/>
      <c r="W54" s="44"/>
      <c r="X54" s="44"/>
      <c r="Y54" s="53"/>
      <c r="Z54" s="53"/>
      <c r="AA54" s="53"/>
      <c r="AB54" s="54"/>
      <c r="AC54" s="55"/>
      <c r="AD54" s="55"/>
      <c r="AE54" s="55"/>
      <c r="AF54" s="55"/>
      <c r="AG54" s="55"/>
      <c r="AH54" s="55"/>
      <c r="AI54" s="55"/>
      <c r="AJ54" s="55"/>
      <c r="AK54" s="55"/>
      <c r="AL54" s="55"/>
      <c r="AM54" s="55"/>
      <c r="AN54" s="55"/>
      <c r="AO54" s="56"/>
      <c r="AP54" s="56"/>
      <c r="AQ54" s="56"/>
      <c r="AR54" s="56"/>
      <c r="AS54" s="56"/>
      <c r="AT54" s="56"/>
      <c r="AU54" s="56"/>
      <c r="AV54" s="53"/>
      <c r="AW54" s="56"/>
      <c r="AX54" s="56"/>
      <c r="AZ54" s="58"/>
      <c r="BA54" s="58"/>
      <c r="BB54" s="56"/>
      <c r="BC54" s="56"/>
      <c r="BD54" s="56"/>
      <c r="BE54" s="56"/>
      <c r="BF54" s="56"/>
      <c r="BG54" s="56"/>
      <c r="BH54" s="56"/>
      <c r="BI54" s="56"/>
      <c r="BJ54" s="56"/>
      <c r="BK54" s="56"/>
      <c r="BL54" s="56"/>
      <c r="BM54" s="56"/>
      <c r="BN54" s="56"/>
      <c r="BO54" s="56"/>
      <c r="BP54" s="56"/>
      <c r="BQ54" s="53"/>
      <c r="BR54" s="56"/>
      <c r="BS54" s="56"/>
      <c r="BU54" s="58"/>
      <c r="BV54" s="58"/>
      <c r="BW54" s="56"/>
      <c r="BX54" s="56"/>
      <c r="BY54" s="56"/>
      <c r="BZ54" s="56"/>
      <c r="CA54" s="56"/>
      <c r="CB54" s="56"/>
      <c r="CC54" s="56"/>
      <c r="CD54" s="56"/>
      <c r="CE54" s="56"/>
      <c r="CF54" s="56"/>
      <c r="CG54" s="56"/>
      <c r="CH54" s="56"/>
      <c r="CI54" s="56"/>
      <c r="CJ54" s="56"/>
      <c r="CK54" s="56"/>
    </row>
    <row r="55" spans="1:179" s="57" customFormat="1" ht="11.25" customHeight="1" x14ac:dyDescent="0.15">
      <c r="A55" s="54"/>
      <c r="B55" s="54"/>
      <c r="C55" s="54"/>
      <c r="D55" s="44"/>
      <c r="E55" s="44"/>
      <c r="F55" s="44"/>
      <c r="G55" s="44"/>
      <c r="H55" s="44"/>
      <c r="I55" s="44"/>
      <c r="J55" s="64" t="s">
        <v>40</v>
      </c>
      <c r="K55" s="44"/>
      <c r="L55" s="44"/>
      <c r="M55" s="44"/>
      <c r="N55" s="44"/>
      <c r="O55" s="65"/>
      <c r="P55" s="44"/>
      <c r="Q55" s="44"/>
      <c r="R55" s="44"/>
      <c r="S55" s="44"/>
      <c r="T55" s="44"/>
      <c r="U55" s="44"/>
      <c r="V55" s="44"/>
      <c r="W55" s="44"/>
      <c r="X55" s="44"/>
      <c r="Y55" s="65"/>
      <c r="Z55" s="65"/>
      <c r="AA55" s="65"/>
      <c r="AB55" s="55"/>
      <c r="AC55" s="55"/>
      <c r="AD55" s="55"/>
      <c r="AE55" s="55"/>
      <c r="AF55" s="55"/>
      <c r="AG55" s="55"/>
      <c r="AH55" s="55"/>
      <c r="AI55" s="55"/>
      <c r="AJ55" s="55"/>
      <c r="AK55" s="55"/>
      <c r="AL55" s="55"/>
      <c r="AM55" s="55"/>
      <c r="AN55" s="55"/>
      <c r="AV55" s="65"/>
      <c r="AZ55" s="66"/>
      <c r="BA55" s="66"/>
      <c r="BQ55" s="65"/>
      <c r="BU55" s="66"/>
      <c r="BV55" s="66"/>
    </row>
    <row r="56" spans="1:179" s="57" customFormat="1" ht="11.25" customHeight="1" x14ac:dyDescent="0.15">
      <c r="A56" s="54"/>
      <c r="B56" s="54"/>
      <c r="C56" s="54"/>
      <c r="D56" s="44"/>
      <c r="E56" s="44"/>
      <c r="F56" s="44"/>
      <c r="G56" s="44"/>
      <c r="H56" s="44"/>
      <c r="I56" s="44"/>
      <c r="J56" s="64" t="s">
        <v>40</v>
      </c>
      <c r="K56" s="44"/>
      <c r="L56" s="44"/>
      <c r="M56" s="44"/>
      <c r="N56" s="44"/>
      <c r="O56" s="65"/>
      <c r="P56" s="44"/>
      <c r="Q56" s="44"/>
      <c r="R56" s="44"/>
      <c r="S56" s="44"/>
      <c r="T56" s="44"/>
      <c r="U56" s="44"/>
      <c r="V56" s="44"/>
      <c r="W56" s="44"/>
      <c r="X56" s="44"/>
      <c r="Y56" s="65"/>
      <c r="Z56" s="65"/>
      <c r="AA56" s="65"/>
      <c r="AB56" s="69"/>
      <c r="AC56" s="55"/>
      <c r="AD56" s="55"/>
      <c r="AE56" s="70"/>
      <c r="AF56" s="70"/>
      <c r="AG56" s="54"/>
      <c r="AH56" s="54"/>
      <c r="AI56" s="54"/>
      <c r="AJ56" s="54"/>
      <c r="AK56" s="54"/>
      <c r="AL56" s="54"/>
      <c r="AM56" s="54"/>
      <c r="AN56" s="54"/>
      <c r="AO56" s="56"/>
      <c r="AP56" s="56"/>
      <c r="AQ56" s="56"/>
      <c r="AR56" s="56"/>
      <c r="AS56" s="56"/>
      <c r="AT56" s="56"/>
      <c r="AU56" s="56"/>
      <c r="AV56" s="65"/>
      <c r="AW56" s="56"/>
      <c r="AX56" s="56"/>
      <c r="AZ56" s="58"/>
      <c r="BA56" s="58"/>
      <c r="BB56" s="56"/>
      <c r="BC56" s="56"/>
      <c r="BD56" s="56"/>
      <c r="BE56" s="56"/>
      <c r="BF56" s="56"/>
      <c r="BG56" s="56"/>
      <c r="BH56" s="56"/>
      <c r="BI56" s="56"/>
      <c r="BJ56" s="56"/>
      <c r="BK56" s="56"/>
      <c r="BL56" s="56"/>
      <c r="BM56" s="56"/>
      <c r="BN56" s="56"/>
      <c r="BO56" s="56"/>
      <c r="BP56" s="56"/>
      <c r="BQ56" s="65"/>
      <c r="BR56" s="56"/>
      <c r="BS56" s="56"/>
      <c r="BU56" s="58"/>
      <c r="BV56" s="58"/>
      <c r="BW56" s="56"/>
      <c r="BX56" s="56"/>
      <c r="BY56" s="56"/>
      <c r="BZ56" s="56"/>
      <c r="CA56" s="56"/>
      <c r="CB56" s="56"/>
      <c r="CC56" s="56"/>
      <c r="CD56" s="56"/>
      <c r="CE56" s="56"/>
      <c r="CF56" s="56"/>
      <c r="CG56" s="56"/>
      <c r="CH56" s="56"/>
      <c r="CI56" s="56"/>
      <c r="CJ56" s="56"/>
      <c r="CK56" s="56"/>
    </row>
    <row r="57" spans="1:179" s="57" customFormat="1" ht="11.25" customHeight="1" x14ac:dyDescent="0.2">
      <c r="A57" s="54"/>
      <c r="B57" s="54"/>
      <c r="C57" s="54"/>
      <c r="D57" s="87"/>
      <c r="E57" s="87"/>
      <c r="F57" s="39"/>
      <c r="G57" s="88"/>
      <c r="H57" s="39"/>
      <c r="I57" s="87"/>
      <c r="J57" s="64" t="s">
        <v>40</v>
      </c>
      <c r="K57" s="87"/>
      <c r="L57" s="39"/>
      <c r="M57" s="87"/>
      <c r="N57" s="39"/>
      <c r="O57" s="72"/>
      <c r="P57" s="39"/>
      <c r="Q57" s="41"/>
      <c r="R57" s="41"/>
      <c r="S57" s="41"/>
      <c r="T57" s="41"/>
      <c r="U57" s="41"/>
      <c r="V57" s="41"/>
      <c r="W57" s="41"/>
      <c r="X57" s="41"/>
      <c r="Y57" s="72"/>
      <c r="Z57" s="72"/>
      <c r="AA57" s="72"/>
      <c r="AB57" s="55"/>
      <c r="AC57" s="55"/>
      <c r="AD57" s="55"/>
      <c r="AE57" s="73"/>
      <c r="AF57" s="73"/>
      <c r="AG57" s="55"/>
      <c r="AH57" s="55"/>
      <c r="AI57" s="55"/>
      <c r="AJ57" s="55"/>
      <c r="AK57" s="55"/>
      <c r="AL57" s="55"/>
      <c r="AM57" s="55"/>
      <c r="AN57" s="55"/>
      <c r="AV57" s="72"/>
      <c r="AZ57" s="74"/>
      <c r="BA57" s="74"/>
      <c r="BQ57" s="72"/>
      <c r="BU57" s="74"/>
      <c r="BV57" s="74"/>
    </row>
    <row r="58" spans="1:179" s="57" customFormat="1" ht="11.25" customHeight="1" x14ac:dyDescent="0.15">
      <c r="A58" s="54"/>
      <c r="B58" s="54"/>
      <c r="C58" s="54"/>
      <c r="D58" s="44"/>
      <c r="E58" s="44"/>
      <c r="F58" s="44"/>
      <c r="G58" s="44"/>
      <c r="H58" s="44"/>
      <c r="I58" s="44"/>
      <c r="J58" s="64"/>
      <c r="K58" s="44"/>
      <c r="L58" s="44"/>
      <c r="M58" s="44"/>
      <c r="N58" s="44"/>
      <c r="O58" s="72"/>
      <c r="P58" s="44"/>
      <c r="Q58" s="44"/>
      <c r="R58" s="44"/>
      <c r="S58" s="44"/>
      <c r="T58" s="44"/>
      <c r="U58" s="44"/>
      <c r="V58" s="44"/>
      <c r="W58" s="44"/>
      <c r="X58" s="44"/>
      <c r="Y58" s="72"/>
      <c r="Z58" s="72"/>
      <c r="AA58" s="72"/>
      <c r="AB58" s="55"/>
      <c r="AC58" s="55"/>
      <c r="AD58" s="55"/>
      <c r="AE58" s="73"/>
      <c r="AF58" s="73"/>
      <c r="AG58" s="55"/>
      <c r="AH58" s="55"/>
      <c r="AI58" s="55"/>
      <c r="AJ58" s="55"/>
      <c r="AK58" s="55"/>
      <c r="AL58" s="55"/>
      <c r="AM58" s="55"/>
      <c r="AN58" s="55"/>
      <c r="AV58" s="72"/>
      <c r="AZ58" s="74"/>
      <c r="BA58" s="74"/>
      <c r="BQ58" s="72"/>
      <c r="BU58" s="74"/>
      <c r="BV58" s="74"/>
    </row>
    <row r="59" spans="1:179" s="57" customFormat="1" ht="11.25" customHeight="1" x14ac:dyDescent="0.15">
      <c r="A59" s="86"/>
      <c r="B59" s="54"/>
      <c r="C59" s="54"/>
      <c r="D59" s="44"/>
      <c r="E59" s="44"/>
      <c r="F59" s="44"/>
      <c r="G59" s="44"/>
      <c r="H59" s="44"/>
      <c r="I59" s="44"/>
      <c r="J59" s="64"/>
      <c r="K59" s="44"/>
      <c r="L59" s="44"/>
      <c r="M59" s="44"/>
      <c r="N59" s="44"/>
      <c r="O59" s="65"/>
      <c r="P59" s="44"/>
      <c r="Q59" s="44"/>
      <c r="R59" s="44"/>
      <c r="S59" s="44"/>
      <c r="T59" s="44"/>
      <c r="U59" s="44"/>
      <c r="V59" s="44"/>
      <c r="W59" s="44"/>
      <c r="X59" s="44"/>
      <c r="Y59" s="65"/>
      <c r="Z59" s="65"/>
      <c r="AA59" s="65"/>
      <c r="AB59" s="55"/>
      <c r="AC59" s="55"/>
      <c r="AD59" s="55"/>
      <c r="AE59" s="55"/>
      <c r="AF59" s="55"/>
      <c r="AG59" s="55"/>
      <c r="AH59" s="55"/>
      <c r="AI59" s="55"/>
      <c r="AJ59" s="55"/>
      <c r="AK59" s="55"/>
      <c r="AL59" s="55"/>
      <c r="AM59" s="55"/>
      <c r="AN59" s="55"/>
      <c r="AV59" s="65"/>
      <c r="AZ59" s="66"/>
      <c r="BA59" s="66"/>
      <c r="BQ59" s="65"/>
      <c r="BU59" s="66"/>
      <c r="BV59" s="66"/>
    </row>
    <row r="60" spans="1:179" s="57" customFormat="1" ht="11.25" customHeight="1" x14ac:dyDescent="0.15">
      <c r="A60" s="54"/>
      <c r="B60" s="281"/>
      <c r="C60" s="54"/>
      <c r="D60" s="44"/>
      <c r="E60" s="44"/>
      <c r="F60" s="44"/>
      <c r="G60" s="44"/>
      <c r="H60" s="44"/>
      <c r="I60" s="44"/>
      <c r="J60" s="64"/>
      <c r="K60" s="44"/>
      <c r="L60" s="44"/>
      <c r="M60" s="44"/>
      <c r="N60" s="44"/>
      <c r="O60" s="65"/>
      <c r="P60" s="44"/>
      <c r="Q60" s="44"/>
      <c r="R60" s="44"/>
      <c r="S60" s="44"/>
      <c r="T60" s="44"/>
      <c r="U60" s="44"/>
      <c r="V60" s="44"/>
      <c r="W60" s="44"/>
      <c r="X60" s="44"/>
      <c r="Y60" s="65"/>
      <c r="Z60" s="65"/>
      <c r="AA60" s="65"/>
      <c r="AB60" s="55"/>
      <c r="AC60" s="55"/>
      <c r="AD60" s="55"/>
      <c r="AE60" s="55"/>
      <c r="AF60" s="55"/>
      <c r="AG60" s="55"/>
      <c r="AH60" s="55"/>
      <c r="AI60" s="55"/>
      <c r="AJ60" s="55"/>
      <c r="AK60" s="55"/>
      <c r="AL60" s="55"/>
      <c r="AM60" s="55"/>
      <c r="AN60" s="55"/>
      <c r="AV60" s="65"/>
      <c r="AZ60" s="66"/>
      <c r="BA60" s="66"/>
      <c r="BQ60" s="65"/>
      <c r="BU60" s="66"/>
      <c r="BV60" s="66"/>
    </row>
    <row r="61" spans="1:179" s="57" customFormat="1" ht="11.25" customHeight="1" x14ac:dyDescent="0.15">
      <c r="A61" s="54"/>
      <c r="B61" s="281"/>
      <c r="C61" s="54"/>
      <c r="D61" s="44"/>
      <c r="E61" s="44"/>
      <c r="F61" s="44"/>
      <c r="G61" s="44"/>
      <c r="H61" s="44"/>
      <c r="I61" s="44"/>
      <c r="J61" s="64"/>
      <c r="K61" s="44"/>
      <c r="L61" s="44"/>
      <c r="M61" s="44"/>
      <c r="N61" s="44"/>
      <c r="O61" s="65"/>
      <c r="P61" s="44"/>
      <c r="Q61" s="44"/>
      <c r="R61" s="44"/>
      <c r="S61" s="44"/>
      <c r="T61" s="44"/>
      <c r="U61" s="44"/>
      <c r="V61" s="44"/>
      <c r="W61" s="44"/>
      <c r="X61" s="44"/>
      <c r="Y61" s="65"/>
      <c r="Z61" s="65"/>
      <c r="AA61" s="65"/>
      <c r="AB61" s="55"/>
      <c r="AC61" s="55"/>
      <c r="AD61" s="55"/>
      <c r="AE61" s="55"/>
      <c r="AF61" s="55"/>
      <c r="AG61" s="55"/>
      <c r="AH61" s="55"/>
      <c r="AI61" s="55"/>
      <c r="AJ61" s="55"/>
      <c r="AK61" s="55"/>
      <c r="AL61" s="55"/>
      <c r="AM61" s="55"/>
      <c r="AN61" s="55"/>
      <c r="AV61" s="65"/>
      <c r="AZ61" s="66"/>
      <c r="BA61" s="66"/>
      <c r="BQ61" s="65"/>
      <c r="BU61" s="66"/>
      <c r="BV61" s="66"/>
    </row>
    <row r="62" spans="1:179" s="57" customFormat="1" ht="11.25" customHeight="1" x14ac:dyDescent="0.15">
      <c r="A62" s="54"/>
      <c r="B62" s="54"/>
      <c r="C62" s="54"/>
      <c r="D62" s="44"/>
      <c r="E62" s="44"/>
      <c r="F62" s="44"/>
      <c r="G62" s="44"/>
      <c r="H62" s="44"/>
      <c r="I62" s="44"/>
      <c r="J62" s="64" t="s">
        <v>40</v>
      </c>
      <c r="K62" s="44"/>
      <c r="L62" s="44"/>
      <c r="M62" s="44"/>
      <c r="N62" s="44"/>
      <c r="O62" s="65"/>
      <c r="P62" s="44"/>
      <c r="Q62" s="44"/>
      <c r="R62" s="44"/>
      <c r="S62" s="44"/>
      <c r="T62" s="44"/>
      <c r="U62" s="44"/>
      <c r="V62" s="44"/>
      <c r="W62" s="44"/>
      <c r="X62" s="44"/>
      <c r="Y62" s="65"/>
      <c r="Z62" s="65"/>
      <c r="AA62" s="65"/>
      <c r="AB62" s="55"/>
      <c r="AC62" s="55"/>
      <c r="AD62" s="73"/>
      <c r="AE62" s="55"/>
      <c r="AF62" s="55"/>
      <c r="AG62" s="55"/>
      <c r="AH62" s="55"/>
      <c r="AI62" s="55"/>
      <c r="AJ62" s="55"/>
      <c r="AK62" s="55"/>
      <c r="AL62" s="55"/>
      <c r="AM62" s="55"/>
      <c r="AN62" s="55"/>
      <c r="AV62" s="65"/>
      <c r="AY62" s="74"/>
      <c r="BQ62" s="65"/>
      <c r="BT62" s="74"/>
    </row>
    <row r="63" spans="1:179" s="57" customFormat="1" ht="11.25" customHeight="1" x14ac:dyDescent="0.15">
      <c r="A63" s="54"/>
      <c r="B63" s="54"/>
      <c r="C63" s="54"/>
      <c r="D63" s="44"/>
      <c r="E63" s="44"/>
      <c r="F63" s="44"/>
      <c r="G63" s="44"/>
      <c r="H63" s="44"/>
      <c r="I63" s="44"/>
      <c r="J63" s="78" t="s">
        <v>40</v>
      </c>
      <c r="K63" s="44"/>
      <c r="L63" s="44"/>
      <c r="M63" s="44"/>
      <c r="N63" s="44"/>
      <c r="O63" s="53"/>
      <c r="P63" s="44"/>
      <c r="Q63" s="44"/>
      <c r="R63" s="44"/>
      <c r="S63" s="44"/>
      <c r="T63" s="44"/>
      <c r="U63" s="44"/>
      <c r="V63" s="44"/>
      <c r="W63" s="44"/>
      <c r="X63" s="44"/>
      <c r="Y63" s="53"/>
      <c r="Z63" s="53"/>
      <c r="AA63" s="53"/>
      <c r="AB63" s="54"/>
      <c r="AC63" s="55"/>
      <c r="AD63" s="55"/>
      <c r="AE63" s="55"/>
      <c r="AF63" s="79"/>
      <c r="AG63" s="55"/>
      <c r="AH63" s="55"/>
      <c r="AI63" s="55"/>
      <c r="AJ63" s="55"/>
      <c r="AK63" s="55"/>
      <c r="AL63" s="55"/>
      <c r="AM63" s="55"/>
      <c r="AN63" s="55"/>
      <c r="AO63" s="56"/>
      <c r="AP63" s="56"/>
      <c r="AQ63" s="56"/>
      <c r="AR63" s="56"/>
      <c r="AS63" s="56"/>
      <c r="AT63" s="56"/>
      <c r="AU63" s="56"/>
      <c r="AV63" s="53"/>
      <c r="AW63" s="56"/>
      <c r="AX63" s="56"/>
      <c r="AZ63" s="58"/>
      <c r="BA63" s="58"/>
      <c r="BB63" s="56"/>
      <c r="BC63" s="56"/>
      <c r="BD63" s="56"/>
      <c r="BE63" s="56"/>
      <c r="BF63" s="56"/>
      <c r="BG63" s="56"/>
      <c r="BH63" s="56"/>
      <c r="BI63" s="56"/>
      <c r="BJ63" s="56"/>
      <c r="BK63" s="56"/>
      <c r="BL63" s="56"/>
      <c r="BM63" s="56"/>
      <c r="BN63" s="56"/>
      <c r="BO63" s="56"/>
      <c r="BP63" s="56"/>
      <c r="BQ63" s="53"/>
      <c r="BR63" s="56"/>
      <c r="BS63" s="56"/>
      <c r="BU63" s="58"/>
      <c r="BV63" s="58"/>
      <c r="BW63" s="56"/>
      <c r="BX63" s="56"/>
      <c r="BY63" s="56"/>
      <c r="BZ63" s="56"/>
      <c r="CA63" s="56"/>
      <c r="CB63" s="56"/>
      <c r="CC63" s="56"/>
      <c r="CD63" s="56"/>
      <c r="CE63" s="56"/>
      <c r="CF63" s="56"/>
      <c r="CG63" s="56"/>
      <c r="CH63" s="56"/>
      <c r="CI63" s="56"/>
      <c r="CJ63" s="56"/>
      <c r="CK63" s="56"/>
    </row>
    <row r="64" spans="1:179" s="57" customFormat="1" ht="11.25" customHeight="1" x14ac:dyDescent="0.15">
      <c r="A64" s="54"/>
      <c r="B64" s="281"/>
      <c r="C64" s="54"/>
      <c r="D64" s="44"/>
      <c r="E64" s="44"/>
      <c r="F64" s="44"/>
      <c r="G64" s="44"/>
      <c r="H64" s="44"/>
      <c r="I64" s="44"/>
      <c r="J64" s="78"/>
      <c r="K64" s="44"/>
      <c r="L64" s="44"/>
      <c r="M64" s="44"/>
      <c r="N64" s="44"/>
      <c r="O64" s="53"/>
      <c r="P64" s="44"/>
      <c r="Q64" s="44"/>
      <c r="R64" s="44"/>
      <c r="S64" s="44"/>
      <c r="T64" s="44"/>
      <c r="U64" s="44"/>
      <c r="V64" s="44"/>
      <c r="W64" s="44"/>
      <c r="X64" s="44"/>
      <c r="Y64" s="53"/>
      <c r="Z64" s="53"/>
      <c r="AA64" s="53"/>
      <c r="AB64" s="54"/>
      <c r="AC64" s="55"/>
      <c r="AD64" s="55"/>
      <c r="AE64" s="55"/>
      <c r="AF64" s="79"/>
      <c r="AG64" s="55"/>
      <c r="AH64" s="55"/>
      <c r="AI64" s="55"/>
      <c r="AJ64" s="55"/>
      <c r="AK64" s="55"/>
      <c r="AL64" s="55"/>
      <c r="AM64" s="55"/>
      <c r="AN64" s="55"/>
      <c r="AO64" s="56"/>
      <c r="AP64" s="56"/>
      <c r="AQ64" s="56"/>
      <c r="AR64" s="56"/>
      <c r="AS64" s="56"/>
      <c r="AT64" s="56"/>
      <c r="AU64" s="56"/>
      <c r="AV64" s="53"/>
      <c r="AW64" s="56"/>
      <c r="AX64" s="56"/>
      <c r="AZ64" s="58"/>
      <c r="BA64" s="58"/>
      <c r="BB64" s="56"/>
      <c r="BC64" s="56"/>
      <c r="BD64" s="56"/>
      <c r="BE64" s="56"/>
      <c r="BF64" s="56"/>
      <c r="BG64" s="56"/>
      <c r="BH64" s="56"/>
      <c r="BI64" s="56"/>
      <c r="BJ64" s="56"/>
      <c r="BK64" s="56"/>
      <c r="BL64" s="56"/>
      <c r="BM64" s="56"/>
      <c r="BN64" s="56"/>
      <c r="BO64" s="56"/>
      <c r="BP64" s="56"/>
      <c r="BQ64" s="53"/>
      <c r="BR64" s="56"/>
      <c r="BS64" s="56"/>
      <c r="BU64" s="58"/>
      <c r="BV64" s="58"/>
      <c r="BW64" s="56"/>
      <c r="BX64" s="56"/>
      <c r="BY64" s="56"/>
      <c r="BZ64" s="56"/>
      <c r="CA64" s="56"/>
      <c r="CB64" s="56"/>
      <c r="CC64" s="56"/>
      <c r="CD64" s="56"/>
      <c r="CE64" s="56"/>
      <c r="CF64" s="56"/>
      <c r="CG64" s="56"/>
      <c r="CH64" s="56"/>
      <c r="CI64" s="56"/>
      <c r="CJ64" s="56"/>
      <c r="CK64" s="56"/>
    </row>
    <row r="65" spans="1:89" x14ac:dyDescent="0.2">
      <c r="A65" s="54"/>
      <c r="B65" s="54"/>
      <c r="C65" s="54"/>
      <c r="J65" s="80" t="s">
        <v>40</v>
      </c>
      <c r="O65" s="81"/>
      <c r="Y65" s="81"/>
      <c r="Z65" s="81"/>
      <c r="AA65" s="81"/>
      <c r="AB65" s="82"/>
      <c r="AC65" s="83"/>
      <c r="AD65" s="83"/>
      <c r="AE65" s="83"/>
      <c r="AF65" s="83"/>
      <c r="AG65" s="83"/>
      <c r="AH65" s="83"/>
      <c r="AI65" s="83"/>
      <c r="AJ65" s="83"/>
      <c r="AK65" s="83"/>
      <c r="AL65" s="83"/>
      <c r="AM65" s="83"/>
      <c r="AN65" s="83"/>
      <c r="AV65" s="81"/>
      <c r="BQ65" s="81"/>
    </row>
    <row r="66" spans="1:89" s="57" customFormat="1" ht="11.25" customHeight="1" x14ac:dyDescent="0.15">
      <c r="A66" s="54"/>
      <c r="B66" s="54"/>
      <c r="C66" s="54"/>
      <c r="D66" s="44"/>
      <c r="E66" s="44"/>
      <c r="F66" s="44"/>
      <c r="G66" s="44"/>
      <c r="H66" s="44"/>
      <c r="I66" s="44"/>
      <c r="J66" s="64" t="s">
        <v>40</v>
      </c>
      <c r="K66" s="44"/>
      <c r="L66" s="44"/>
      <c r="M66" s="44"/>
      <c r="N66" s="44"/>
      <c r="O66" s="65"/>
      <c r="P66" s="44"/>
      <c r="Q66" s="44"/>
      <c r="R66" s="44"/>
      <c r="S66" s="44"/>
      <c r="T66" s="44"/>
      <c r="U66" s="44"/>
      <c r="V66" s="44"/>
      <c r="W66" s="44"/>
      <c r="X66" s="44"/>
      <c r="Y66" s="65"/>
      <c r="Z66" s="65"/>
      <c r="AA66" s="65"/>
      <c r="AB66" s="55"/>
      <c r="AC66" s="55"/>
      <c r="AD66" s="55"/>
      <c r="AE66" s="55"/>
      <c r="AF66" s="55"/>
      <c r="AG66" s="55"/>
      <c r="AH66" s="55"/>
      <c r="AI66" s="55"/>
      <c r="AJ66" s="55"/>
      <c r="AK66" s="55"/>
      <c r="AL66" s="55"/>
      <c r="AM66" s="55"/>
      <c r="AN66" s="55"/>
      <c r="AV66" s="65"/>
      <c r="AY66" s="74"/>
      <c r="BQ66" s="65"/>
      <c r="BT66" s="74"/>
    </row>
    <row r="67" spans="1:89" s="57" customFormat="1" ht="11.25" customHeight="1" x14ac:dyDescent="0.15">
      <c r="A67" s="54"/>
      <c r="B67" s="54"/>
      <c r="C67" s="54"/>
      <c r="D67" s="44"/>
      <c r="E67" s="44"/>
      <c r="F67" s="44"/>
      <c r="G67" s="44"/>
      <c r="H67" s="44"/>
      <c r="I67" s="44"/>
      <c r="J67" s="64" t="s">
        <v>40</v>
      </c>
      <c r="K67" s="44"/>
      <c r="L67" s="44"/>
      <c r="M67" s="44"/>
      <c r="N67" s="44"/>
      <c r="O67" s="65"/>
      <c r="P67" s="44"/>
      <c r="Q67" s="44"/>
      <c r="R67" s="44"/>
      <c r="S67" s="44"/>
      <c r="T67" s="44"/>
      <c r="U67" s="44"/>
      <c r="V67" s="44"/>
      <c r="W67" s="44"/>
      <c r="X67" s="44"/>
      <c r="Y67" s="65"/>
      <c r="Z67" s="65"/>
      <c r="AA67" s="65"/>
      <c r="AB67" s="55"/>
      <c r="AC67" s="55"/>
      <c r="AD67" s="55"/>
      <c r="AE67" s="55"/>
      <c r="AF67" s="55"/>
      <c r="AG67" s="55"/>
      <c r="AH67" s="55"/>
      <c r="AI67" s="55"/>
      <c r="AJ67" s="55"/>
      <c r="AK67" s="55"/>
      <c r="AL67" s="55"/>
      <c r="AM67" s="55"/>
      <c r="AN67" s="55"/>
      <c r="AV67" s="65"/>
      <c r="BQ67" s="65"/>
    </row>
    <row r="68" spans="1:89" s="57" customFormat="1" ht="11.25" customHeight="1" x14ac:dyDescent="0.15">
      <c r="A68" s="54"/>
      <c r="B68" s="281"/>
      <c r="C68" s="54"/>
      <c r="D68" s="44"/>
      <c r="E68" s="44"/>
      <c r="F68" s="44"/>
      <c r="G68" s="44"/>
      <c r="H68" s="44"/>
      <c r="I68" s="44"/>
      <c r="J68" s="64"/>
      <c r="K68" s="44"/>
      <c r="L68" s="44"/>
      <c r="M68" s="44"/>
      <c r="N68" s="44"/>
      <c r="O68" s="65"/>
      <c r="P68" s="44"/>
      <c r="Q68" s="44"/>
      <c r="R68" s="44"/>
      <c r="S68" s="44"/>
      <c r="T68" s="44"/>
      <c r="U68" s="44"/>
      <c r="V68" s="44"/>
      <c r="W68" s="44"/>
      <c r="X68" s="44"/>
      <c r="Y68" s="65"/>
      <c r="Z68" s="65"/>
      <c r="AA68" s="65"/>
      <c r="AB68" s="55"/>
      <c r="AC68" s="55"/>
      <c r="AD68" s="55"/>
      <c r="AE68" s="55"/>
      <c r="AF68" s="55"/>
      <c r="AG68" s="55"/>
      <c r="AH68" s="55"/>
      <c r="AI68" s="55"/>
      <c r="AJ68" s="55"/>
      <c r="AK68" s="55"/>
      <c r="AL68" s="55"/>
      <c r="AM68" s="55"/>
      <c r="AN68" s="55"/>
      <c r="AV68" s="65"/>
      <c r="BQ68" s="65"/>
    </row>
    <row r="69" spans="1:89" s="57" customFormat="1" ht="11.25" customHeight="1" x14ac:dyDescent="0.15">
      <c r="A69" s="54"/>
      <c r="B69" s="54"/>
      <c r="C69" s="54"/>
      <c r="D69" s="44"/>
      <c r="E69" s="44"/>
      <c r="F69" s="44"/>
      <c r="G69" s="44"/>
      <c r="H69" s="44"/>
      <c r="I69" s="44"/>
      <c r="J69" s="78"/>
      <c r="K69" s="44"/>
      <c r="L69" s="44"/>
      <c r="M69" s="44"/>
      <c r="N69" s="44"/>
      <c r="O69" s="53"/>
      <c r="P69" s="44"/>
      <c r="Q69" s="44"/>
      <c r="R69" s="44"/>
      <c r="S69" s="44"/>
      <c r="T69" s="44"/>
      <c r="U69" s="44"/>
      <c r="V69" s="44"/>
      <c r="W69" s="44"/>
      <c r="X69" s="44"/>
      <c r="Y69" s="53"/>
      <c r="Z69" s="53"/>
      <c r="AA69" s="53"/>
      <c r="AB69" s="54"/>
      <c r="AC69" s="55"/>
      <c r="AD69" s="55"/>
      <c r="AE69" s="55"/>
      <c r="AF69" s="79"/>
      <c r="AG69" s="55"/>
      <c r="AH69" s="55"/>
      <c r="AI69" s="55"/>
      <c r="AJ69" s="55"/>
      <c r="AK69" s="55"/>
      <c r="AL69" s="55"/>
      <c r="AM69" s="55"/>
      <c r="AN69" s="55"/>
      <c r="AO69" s="56"/>
      <c r="AP69" s="56"/>
      <c r="AQ69" s="56"/>
      <c r="AR69" s="56"/>
      <c r="AS69" s="56"/>
      <c r="AT69" s="56"/>
      <c r="AU69" s="56"/>
      <c r="AV69" s="53"/>
      <c r="AW69" s="56"/>
      <c r="AX69" s="56"/>
      <c r="AZ69" s="58"/>
      <c r="BA69" s="58"/>
      <c r="BB69" s="56"/>
      <c r="BC69" s="56"/>
      <c r="BD69" s="56"/>
      <c r="BE69" s="56"/>
      <c r="BF69" s="56"/>
      <c r="BG69" s="56"/>
      <c r="BH69" s="56"/>
      <c r="BI69" s="56"/>
      <c r="BJ69" s="56"/>
      <c r="BK69" s="56"/>
      <c r="BL69" s="56"/>
      <c r="BM69" s="56"/>
      <c r="BN69" s="56"/>
      <c r="BO69" s="56"/>
      <c r="BP69" s="56"/>
      <c r="BQ69" s="53"/>
      <c r="BR69" s="56"/>
      <c r="BS69" s="56"/>
      <c r="BU69" s="58"/>
      <c r="BV69" s="58"/>
      <c r="BW69" s="56"/>
      <c r="BX69" s="56"/>
      <c r="BY69" s="56"/>
      <c r="BZ69" s="56"/>
      <c r="CA69" s="56"/>
      <c r="CB69" s="56"/>
      <c r="CC69" s="56"/>
      <c r="CD69" s="56"/>
      <c r="CE69" s="56"/>
      <c r="CF69" s="56"/>
      <c r="CG69" s="56"/>
      <c r="CH69" s="56"/>
      <c r="CI69" s="56"/>
      <c r="CJ69" s="56"/>
      <c r="CK69" s="56"/>
    </row>
    <row r="70" spans="1:89" s="57" customFormat="1" ht="11.25" customHeight="1" x14ac:dyDescent="0.15">
      <c r="A70" s="86"/>
      <c r="B70" s="54"/>
      <c r="C70" s="54"/>
      <c r="D70" s="44"/>
      <c r="E70" s="44"/>
      <c r="F70" s="44"/>
      <c r="G70" s="44"/>
      <c r="H70" s="44"/>
      <c r="I70" s="44"/>
      <c r="J70" s="78"/>
      <c r="K70" s="44"/>
      <c r="L70" s="44"/>
      <c r="M70" s="44"/>
      <c r="N70" s="44"/>
      <c r="O70" s="53"/>
      <c r="P70" s="44"/>
      <c r="Q70" s="44"/>
      <c r="R70" s="44"/>
      <c r="S70" s="44"/>
      <c r="T70" s="44"/>
      <c r="U70" s="44"/>
      <c r="V70" s="44"/>
      <c r="W70" s="44"/>
      <c r="X70" s="44"/>
      <c r="Y70" s="53"/>
      <c r="Z70" s="53"/>
      <c r="AA70" s="53"/>
      <c r="AB70" s="54"/>
      <c r="AC70" s="55"/>
      <c r="AD70" s="55"/>
      <c r="AE70" s="55"/>
      <c r="AF70" s="79"/>
      <c r="AG70" s="55"/>
      <c r="AH70" s="55"/>
      <c r="AI70" s="55"/>
      <c r="AJ70" s="55"/>
      <c r="AK70" s="55"/>
      <c r="AL70" s="55"/>
      <c r="AM70" s="55"/>
      <c r="AN70" s="55"/>
      <c r="AO70" s="56"/>
      <c r="AP70" s="56"/>
      <c r="AQ70" s="56"/>
      <c r="AR70" s="56"/>
      <c r="AS70" s="56"/>
      <c r="AT70" s="56"/>
      <c r="AU70" s="56"/>
      <c r="AV70" s="53"/>
      <c r="AW70" s="56"/>
      <c r="AX70" s="56"/>
      <c r="AZ70" s="58"/>
      <c r="BA70" s="58"/>
      <c r="BB70" s="56"/>
      <c r="BC70" s="56"/>
      <c r="BD70" s="56"/>
      <c r="BE70" s="56"/>
      <c r="BF70" s="56"/>
      <c r="BG70" s="56"/>
      <c r="BH70" s="56"/>
      <c r="BI70" s="56"/>
      <c r="BJ70" s="56"/>
      <c r="BK70" s="56"/>
      <c r="BL70" s="56"/>
      <c r="BM70" s="56"/>
      <c r="BN70" s="56"/>
      <c r="BO70" s="56"/>
      <c r="BP70" s="56"/>
      <c r="BQ70" s="53"/>
      <c r="BR70" s="56"/>
      <c r="BS70" s="56"/>
      <c r="BU70" s="58"/>
      <c r="BV70" s="58"/>
      <c r="BW70" s="56"/>
      <c r="BX70" s="56"/>
      <c r="BY70" s="56"/>
      <c r="BZ70" s="56"/>
      <c r="CA70" s="56"/>
      <c r="CB70" s="56"/>
      <c r="CC70" s="56"/>
      <c r="CD70" s="56"/>
      <c r="CE70" s="56"/>
      <c r="CF70" s="56"/>
      <c r="CG70" s="56"/>
      <c r="CH70" s="56"/>
      <c r="CI70" s="56"/>
      <c r="CJ70" s="56"/>
      <c r="CK70" s="56"/>
    </row>
    <row r="71" spans="1:89" s="57" customFormat="1" ht="11.25" customHeight="1" x14ac:dyDescent="0.15">
      <c r="A71" s="282"/>
      <c r="B71" s="54"/>
      <c r="C71" s="54"/>
      <c r="D71" s="44"/>
      <c r="E71" s="44"/>
      <c r="F71" s="44"/>
      <c r="G71" s="44"/>
      <c r="H71" s="44"/>
      <c r="I71" s="44"/>
      <c r="J71" s="64" t="s">
        <v>40</v>
      </c>
      <c r="K71" s="44"/>
      <c r="L71" s="44"/>
      <c r="M71" s="44"/>
      <c r="N71" s="44"/>
      <c r="O71" s="65"/>
      <c r="P71" s="44"/>
      <c r="Q71" s="44"/>
      <c r="R71" s="44"/>
      <c r="S71" s="44"/>
      <c r="T71" s="44"/>
      <c r="U71" s="44"/>
      <c r="V71" s="44"/>
      <c r="W71" s="44"/>
      <c r="X71" s="44"/>
      <c r="Y71" s="65"/>
      <c r="Z71" s="65"/>
      <c r="AA71" s="65"/>
      <c r="AB71" s="55"/>
      <c r="AC71" s="55"/>
      <c r="AD71" s="73"/>
      <c r="AE71" s="55"/>
      <c r="AF71" s="55"/>
      <c r="AG71" s="55"/>
      <c r="AH71" s="55"/>
      <c r="AI71" s="55"/>
      <c r="AJ71" s="55"/>
      <c r="AK71" s="55"/>
      <c r="AL71" s="55"/>
      <c r="AM71" s="55"/>
      <c r="AN71" s="55"/>
      <c r="AV71" s="65"/>
      <c r="BQ71" s="65"/>
    </row>
    <row r="72" spans="1:89" x14ac:dyDescent="0.2">
      <c r="A72" s="283"/>
      <c r="B72" s="56"/>
      <c r="C72" s="56"/>
      <c r="J72" s="80" t="s">
        <v>40</v>
      </c>
      <c r="O72" s="81"/>
      <c r="Y72" s="81"/>
      <c r="Z72" s="81"/>
      <c r="AA72" s="81"/>
      <c r="AV72" s="81"/>
      <c r="BQ72" s="81"/>
    </row>
    <row r="73" spans="1:89" x14ac:dyDescent="0.2">
      <c r="A73" s="54"/>
      <c r="B73" s="54"/>
      <c r="C73" s="280"/>
      <c r="J73" s="80" t="s">
        <v>40</v>
      </c>
      <c r="O73" s="81"/>
      <c r="Y73" s="81"/>
      <c r="Z73" s="81"/>
      <c r="AA73" s="81"/>
      <c r="AB73" s="83"/>
      <c r="AC73" s="83"/>
      <c r="AD73" s="83"/>
      <c r="AE73" s="83"/>
      <c r="AF73" s="83"/>
      <c r="AG73" s="83"/>
      <c r="AH73" s="83"/>
      <c r="AI73" s="83"/>
      <c r="AJ73" s="83"/>
      <c r="AK73" s="83"/>
      <c r="AL73" s="83"/>
      <c r="AM73" s="83"/>
      <c r="AN73" s="83"/>
      <c r="AV73" s="81"/>
      <c r="BQ73" s="81"/>
    </row>
    <row r="74" spans="1:89" x14ac:dyDescent="0.2">
      <c r="A74" s="54"/>
      <c r="B74" s="56"/>
      <c r="C74" s="54"/>
      <c r="J74" s="80" t="s">
        <v>40</v>
      </c>
      <c r="O74" s="81"/>
      <c r="Y74" s="81"/>
      <c r="Z74" s="81"/>
      <c r="AA74" s="81"/>
      <c r="AB74" s="83"/>
      <c r="AC74" s="83"/>
      <c r="AD74" s="83"/>
      <c r="AV74" s="81"/>
      <c r="BQ74" s="81"/>
    </row>
    <row r="75" spans="1:89" x14ac:dyDescent="0.2">
      <c r="A75" s="54"/>
      <c r="B75" s="56"/>
      <c r="C75" s="54"/>
      <c r="J75" s="80"/>
      <c r="O75" s="81"/>
      <c r="Y75" s="81"/>
      <c r="Z75" s="81"/>
      <c r="AA75" s="81"/>
      <c r="AB75" s="83"/>
      <c r="AC75" s="83"/>
      <c r="AD75" s="83"/>
      <c r="AV75" s="81"/>
      <c r="BQ75" s="81"/>
    </row>
    <row r="76" spans="1:89" x14ac:dyDescent="0.2">
      <c r="A76" s="43"/>
      <c r="B76" s="44"/>
      <c r="C76" s="44"/>
      <c r="J76" s="64" t="s">
        <v>40</v>
      </c>
      <c r="O76" s="84"/>
      <c r="Y76" s="84"/>
      <c r="Z76" s="84"/>
      <c r="AA76" s="84"/>
      <c r="AV76" s="84"/>
      <c r="BQ76" s="84"/>
    </row>
    <row r="77" spans="1:89" s="57" customFormat="1" ht="11.25" customHeight="1" x14ac:dyDescent="0.15">
      <c r="A77" s="282"/>
      <c r="B77" s="54"/>
      <c r="C77" s="54"/>
      <c r="D77" s="44"/>
      <c r="E77" s="44"/>
      <c r="F77" s="44"/>
      <c r="G77" s="44"/>
      <c r="H77" s="44"/>
      <c r="I77" s="44"/>
      <c r="J77" s="64" t="s">
        <v>40</v>
      </c>
      <c r="K77" s="44"/>
      <c r="L77" s="44"/>
      <c r="M77" s="44"/>
      <c r="N77" s="44"/>
      <c r="O77" s="72"/>
      <c r="P77" s="44"/>
      <c r="Q77" s="44"/>
      <c r="R77" s="44"/>
      <c r="S77" s="44"/>
      <c r="T77" s="44"/>
      <c r="U77" s="44"/>
      <c r="V77" s="44"/>
      <c r="W77" s="44"/>
      <c r="X77" s="44"/>
      <c r="Y77" s="72"/>
      <c r="Z77" s="72"/>
      <c r="AA77" s="72"/>
      <c r="AB77" s="55"/>
      <c r="AC77" s="55"/>
      <c r="AD77" s="55"/>
      <c r="AE77" s="55"/>
      <c r="AF77" s="55"/>
      <c r="AG77" s="55"/>
      <c r="AH77" s="55"/>
      <c r="AI77" s="55"/>
      <c r="AJ77" s="55"/>
      <c r="AK77" s="55"/>
      <c r="AL77" s="55"/>
      <c r="AM77" s="55"/>
      <c r="AN77" s="55"/>
      <c r="AV77" s="72"/>
      <c r="BQ77" s="72"/>
    </row>
    <row r="78" spans="1:89" x14ac:dyDescent="0.2">
      <c r="B78" s="44"/>
      <c r="C78" s="44"/>
      <c r="J78" s="78" t="s">
        <v>40</v>
      </c>
      <c r="O78" s="81"/>
      <c r="Y78" s="81"/>
      <c r="Z78" s="81"/>
      <c r="AA78" s="81"/>
      <c r="AV78" s="81"/>
      <c r="BQ78" s="81"/>
    </row>
    <row r="79" spans="1:89" x14ac:dyDescent="0.2">
      <c r="J79" s="64" t="s">
        <v>40</v>
      </c>
      <c r="O79" s="81"/>
      <c r="Y79" s="81"/>
      <c r="Z79" s="81"/>
      <c r="AA79" s="81"/>
      <c r="AV79" s="81"/>
      <c r="BQ79" s="81"/>
    </row>
    <row r="80" spans="1:89" x14ac:dyDescent="0.2">
      <c r="J80" s="64" t="s">
        <v>40</v>
      </c>
      <c r="O80" s="85"/>
      <c r="Y80" s="85"/>
      <c r="Z80" s="85"/>
      <c r="AA80" s="85"/>
      <c r="AV80" s="85"/>
      <c r="BQ80" s="85"/>
    </row>
    <row r="81" spans="1:69" x14ac:dyDescent="0.2">
      <c r="J81" s="64" t="s">
        <v>40</v>
      </c>
      <c r="L81" s="43"/>
      <c r="M81" s="43" t="s">
        <v>53</v>
      </c>
      <c r="O81" s="81"/>
      <c r="Y81" s="81"/>
      <c r="Z81" s="81"/>
      <c r="AA81" s="81"/>
      <c r="AV81" s="81"/>
      <c r="BQ81" s="81"/>
    </row>
    <row r="82" spans="1:69" x14ac:dyDescent="0.2">
      <c r="J82" s="64" t="s">
        <v>40</v>
      </c>
    </row>
    <row r="83" spans="1:69" x14ac:dyDescent="0.2">
      <c r="J83" s="64" t="s">
        <v>40</v>
      </c>
    </row>
    <row r="84" spans="1:69" x14ac:dyDescent="0.2">
      <c r="C84" s="43" t="s">
        <v>240</v>
      </c>
      <c r="J84" s="78" t="s">
        <v>40</v>
      </c>
      <c r="M84" s="43" t="s">
        <v>241</v>
      </c>
    </row>
    <row r="85" spans="1:69" x14ac:dyDescent="0.2">
      <c r="J85" s="64" t="s">
        <v>40</v>
      </c>
    </row>
    <row r="86" spans="1:69" x14ac:dyDescent="0.2">
      <c r="J86" s="64" t="s">
        <v>40</v>
      </c>
    </row>
    <row r="87" spans="1:69" x14ac:dyDescent="0.2">
      <c r="J87" s="64" t="s">
        <v>40</v>
      </c>
    </row>
    <row r="88" spans="1:69" x14ac:dyDescent="0.2">
      <c r="A88" s="43"/>
      <c r="J88" s="64" t="s">
        <v>40</v>
      </c>
    </row>
    <row r="89" spans="1:69" x14ac:dyDescent="0.2">
      <c r="J89" s="64" t="s">
        <v>40</v>
      </c>
    </row>
    <row r="90" spans="1:69" x14ac:dyDescent="0.2">
      <c r="J90" s="64" t="s">
        <v>40</v>
      </c>
    </row>
    <row r="91" spans="1:69" x14ac:dyDescent="0.2">
      <c r="J91" s="64" t="s">
        <v>40</v>
      </c>
    </row>
    <row r="92" spans="1:69" x14ac:dyDescent="0.2">
      <c r="J92" s="64" t="s">
        <v>40</v>
      </c>
    </row>
    <row r="93" spans="1:69" x14ac:dyDescent="0.2">
      <c r="J93" s="64" t="s">
        <v>40</v>
      </c>
    </row>
    <row r="94" spans="1:69" x14ac:dyDescent="0.2">
      <c r="J94" s="80" t="s">
        <v>40</v>
      </c>
      <c r="O94" s="43"/>
      <c r="Y94" s="86"/>
      <c r="Z94" s="43"/>
      <c r="AA94" s="86"/>
      <c r="AV94" s="86"/>
      <c r="BQ94" s="86"/>
    </row>
    <row r="95" spans="1:69" x14ac:dyDescent="0.2">
      <c r="J95" s="80" t="s">
        <v>40</v>
      </c>
    </row>
    <row r="96" spans="1:69" x14ac:dyDescent="0.2">
      <c r="J96" s="80"/>
    </row>
    <row r="97" spans="3:69" x14ac:dyDescent="0.2">
      <c r="J97" s="80"/>
    </row>
    <row r="104" spans="3:69" ht="14.25" x14ac:dyDescent="0.2">
      <c r="J104" s="39"/>
      <c r="O104" s="87"/>
      <c r="Y104" s="89"/>
      <c r="Z104" s="41"/>
      <c r="AA104" s="89"/>
      <c r="AB104" s="41"/>
      <c r="AC104" s="41"/>
      <c r="AD104" s="41"/>
      <c r="AV104" s="89"/>
      <c r="BQ104" s="89"/>
    </row>
    <row r="112" spans="3:69" x14ac:dyDescent="0.2">
      <c r="C112" s="43" t="s">
        <v>173</v>
      </c>
    </row>
    <row r="170" spans="12:16" x14ac:dyDescent="0.2">
      <c r="L170" s="44" t="s">
        <v>11</v>
      </c>
      <c r="M170" s="44" t="s">
        <v>12</v>
      </c>
      <c r="N170" s="44">
        <v>2021</v>
      </c>
      <c r="P170" s="44">
        <v>2023</v>
      </c>
    </row>
    <row r="175" spans="12:16" x14ac:dyDescent="0.2">
      <c r="L175" s="43" t="s">
        <v>54</v>
      </c>
    </row>
    <row r="178" spans="12:12" x14ac:dyDescent="0.2">
      <c r="L178" s="43" t="s">
        <v>174</v>
      </c>
    </row>
    <row r="260" spans="2:16" x14ac:dyDescent="0.2">
      <c r="B260" s="44" t="s">
        <v>9</v>
      </c>
      <c r="C260" s="44" t="s">
        <v>8</v>
      </c>
      <c r="D260" s="44" t="s">
        <v>11</v>
      </c>
      <c r="E260" s="44" t="s">
        <v>12</v>
      </c>
      <c r="F260" s="44" t="s">
        <v>188</v>
      </c>
      <c r="G260" s="44" t="s">
        <v>189</v>
      </c>
      <c r="H260" s="44" t="s">
        <v>190</v>
      </c>
      <c r="I260" s="44" t="s">
        <v>187</v>
      </c>
      <c r="J260" s="44" t="s">
        <v>234</v>
      </c>
      <c r="K260" s="44" t="s">
        <v>235</v>
      </c>
      <c r="L260" s="44" t="s">
        <v>236</v>
      </c>
      <c r="M260" s="44" t="s">
        <v>237</v>
      </c>
      <c r="N260" s="44">
        <v>2023</v>
      </c>
      <c r="O260" s="44">
        <v>2024</v>
      </c>
      <c r="P260" s="44">
        <v>2025</v>
      </c>
    </row>
  </sheetData>
  <mergeCells count="13">
    <mergeCell ref="P1:S1"/>
    <mergeCell ref="B2:C2"/>
    <mergeCell ref="D2:E2"/>
    <mergeCell ref="A1:A2"/>
    <mergeCell ref="B1:C1"/>
    <mergeCell ref="D1:E1"/>
    <mergeCell ref="F1:I1"/>
    <mergeCell ref="K1:N1"/>
    <mergeCell ref="V2:X2"/>
    <mergeCell ref="D4:E4"/>
    <mergeCell ref="D5:E5"/>
    <mergeCell ref="B29:C29"/>
    <mergeCell ref="D29:E29"/>
  </mergeCells>
  <conditionalFormatting sqref="AB49:AD49 AG49:AI49 AL49:AN49 AQ49:AS49 BB49:BD49 BG49:BI49 BL49:BN49 BR49:BT49 BW49:BY49 CB49:CD49 CG49:CI49 U49:X49">
    <cfRule type="cellIs" dxfId="15" priority="7" operator="lessThan">
      <formula>0</formula>
    </cfRule>
    <cfRule type="cellIs" dxfId="14" priority="8" operator="greaterThan">
      <formula>0</formula>
    </cfRule>
  </conditionalFormatting>
  <conditionalFormatting sqref="AB49:AD49 AG49:AI49 AL49:AN49 AQ49:AS49 BB49:BD49 BG49:BI49 BL49:BN49 BR49:BT49 BW49:BY49 CB49:CD49 CG49:CI49 AW49:AY49">
    <cfRule type="cellIs" dxfId="13" priority="5" operator="lessThan">
      <formula>0</formula>
    </cfRule>
    <cfRule type="cellIs" dxfId="12" priority="6" operator="greaterThan">
      <formula>0</formula>
    </cfRule>
  </conditionalFormatting>
  <conditionalFormatting sqref="F49:I49 K49:N49 P49:S49">
    <cfRule type="cellIs" dxfId="11" priority="3" operator="lessThan">
      <formula>0</formula>
    </cfRule>
    <cfRule type="cellIs" dxfId="10" priority="4" operator="greaterThan">
      <formula>0</formula>
    </cfRule>
  </conditionalFormatting>
  <conditionalFormatting sqref="F49:I49 K49:N49 P49:S49">
    <cfRule type="cellIs" dxfId="9" priority="1" operator="lessThan">
      <formula>0</formula>
    </cfRule>
    <cfRule type="cellIs" dxfId="8" priority="2" operator="greaterThan">
      <formula>0</formula>
    </cfRule>
  </conditionalFormatting>
  <pageMargins left="0.78740157499999996" right="0.78740157499999996" top="0.984251969" bottom="0.984251969" header="0.4921259845" footer="0.4921259845"/>
  <pageSetup paperSize="9" scale="61" orientation="landscape"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W260"/>
  <sheetViews>
    <sheetView zoomScale="120" zoomScaleNormal="120" workbookViewId="0">
      <pane xSplit="1" topLeftCell="B1" activePane="topRight" state="frozen"/>
      <selection pane="topRight" activeCell="D36" sqref="D36"/>
    </sheetView>
  </sheetViews>
  <sheetFormatPr baseColWidth="10" defaultRowHeight="12.75" x14ac:dyDescent="0.2"/>
  <cols>
    <col min="1" max="1" width="43.42578125" style="44" customWidth="1"/>
    <col min="2" max="3" width="8.140625" style="43" customWidth="1"/>
    <col min="4" max="5" width="8.140625" style="44" customWidth="1"/>
    <col min="6" max="9" width="9.5703125" style="44" customWidth="1"/>
    <col min="10" max="20" width="9.85546875" style="44" customWidth="1"/>
    <col min="21" max="21" width="2.140625" style="44" customWidth="1"/>
    <col min="22" max="24" width="11.140625" style="44" customWidth="1"/>
    <col min="25" max="25" width="2.140625" style="45" customWidth="1"/>
    <col min="26" max="26" width="10.7109375" style="44" customWidth="1"/>
    <col min="27" max="27" width="2.140625" style="45" customWidth="1"/>
    <col min="28" max="42" width="10.7109375" style="46" customWidth="1"/>
    <col min="43" max="47" width="10.7109375" style="41" customWidth="1"/>
    <col min="48" max="48" width="2.140625" style="45" customWidth="1"/>
    <col min="49" max="63" width="10.7109375" style="46" customWidth="1"/>
    <col min="64" max="68" width="10.7109375" style="41" customWidth="1"/>
    <col min="69" max="69" width="2.140625" style="45" customWidth="1"/>
    <col min="70" max="84" width="10.7109375" style="46" customWidth="1"/>
    <col min="85" max="89" width="10.7109375" style="41" customWidth="1"/>
    <col min="90" max="16384" width="11.42578125" style="41"/>
  </cols>
  <sheetData>
    <row r="1" spans="1:179" s="46" customFormat="1" ht="10.5" customHeight="1" x14ac:dyDescent="0.2">
      <c r="A1" s="661" t="s">
        <v>127</v>
      </c>
      <c r="B1" s="663" t="s">
        <v>128</v>
      </c>
      <c r="C1" s="664"/>
      <c r="D1" s="665" t="s">
        <v>108</v>
      </c>
      <c r="E1" s="666"/>
      <c r="F1" s="654" t="s">
        <v>161</v>
      </c>
      <c r="G1" s="655"/>
      <c r="H1" s="655"/>
      <c r="I1" s="656"/>
      <c r="J1" s="90">
        <v>2020</v>
      </c>
      <c r="K1" s="654" t="s">
        <v>185</v>
      </c>
      <c r="L1" s="655"/>
      <c r="M1" s="655"/>
      <c r="N1" s="656"/>
      <c r="O1" s="90">
        <v>2021</v>
      </c>
      <c r="P1" s="654" t="s">
        <v>233</v>
      </c>
      <c r="Q1" s="655"/>
      <c r="R1" s="655"/>
      <c r="S1" s="656"/>
      <c r="T1" s="91">
        <v>2022</v>
      </c>
      <c r="U1" s="94"/>
      <c r="V1" s="644">
        <v>2023</v>
      </c>
      <c r="W1" s="645">
        <v>2024</v>
      </c>
      <c r="X1" s="646">
        <v>2025</v>
      </c>
      <c r="Y1" s="94"/>
      <c r="Z1" s="566" t="s">
        <v>238</v>
      </c>
      <c r="AA1" s="603"/>
      <c r="AB1" s="602">
        <v>2020</v>
      </c>
      <c r="AC1" s="95">
        <v>2020</v>
      </c>
      <c r="AD1" s="95">
        <v>2020</v>
      </c>
      <c r="AE1" s="90" t="s">
        <v>9</v>
      </c>
      <c r="AF1" s="584" t="s">
        <v>9</v>
      </c>
      <c r="AG1" s="602">
        <v>2020</v>
      </c>
      <c r="AH1" s="95">
        <v>2020</v>
      </c>
      <c r="AI1" s="95">
        <v>2020</v>
      </c>
      <c r="AJ1" s="90" t="s">
        <v>8</v>
      </c>
      <c r="AK1" s="584" t="s">
        <v>8</v>
      </c>
      <c r="AL1" s="602">
        <v>2020</v>
      </c>
      <c r="AM1" s="95">
        <v>2020</v>
      </c>
      <c r="AN1" s="95">
        <v>2020</v>
      </c>
      <c r="AO1" s="90" t="s">
        <v>11</v>
      </c>
      <c r="AP1" s="584" t="s">
        <v>11</v>
      </c>
      <c r="AQ1" s="602">
        <v>2020</v>
      </c>
      <c r="AR1" s="95">
        <v>2020</v>
      </c>
      <c r="AS1" s="95">
        <v>2020</v>
      </c>
      <c r="AT1" s="90" t="s">
        <v>12</v>
      </c>
      <c r="AU1" s="584" t="s">
        <v>12</v>
      </c>
      <c r="AV1" s="603"/>
      <c r="AW1" s="602">
        <v>2021</v>
      </c>
      <c r="AX1" s="96">
        <v>2021</v>
      </c>
      <c r="AY1" s="96">
        <v>2021</v>
      </c>
      <c r="AZ1" s="90" t="s">
        <v>188</v>
      </c>
      <c r="BA1" s="584" t="s">
        <v>188</v>
      </c>
      <c r="BB1" s="602">
        <v>2021</v>
      </c>
      <c r="BC1" s="96">
        <v>2021</v>
      </c>
      <c r="BD1" s="96">
        <v>2021</v>
      </c>
      <c r="BE1" s="90" t="s">
        <v>189</v>
      </c>
      <c r="BF1" s="584" t="s">
        <v>189</v>
      </c>
      <c r="BG1" s="602">
        <v>2021</v>
      </c>
      <c r="BH1" s="96">
        <v>2021</v>
      </c>
      <c r="BI1" s="96">
        <v>2021</v>
      </c>
      <c r="BJ1" s="90" t="s">
        <v>190</v>
      </c>
      <c r="BK1" s="584" t="s">
        <v>190</v>
      </c>
      <c r="BL1" s="586">
        <v>2021</v>
      </c>
      <c r="BM1" s="97">
        <v>2021</v>
      </c>
      <c r="BN1" s="97">
        <v>2021</v>
      </c>
      <c r="BO1" s="90" t="s">
        <v>187</v>
      </c>
      <c r="BP1" s="584" t="s">
        <v>187</v>
      </c>
      <c r="BQ1" s="94"/>
      <c r="BR1" s="586">
        <v>2022</v>
      </c>
      <c r="BS1" s="97">
        <v>2022</v>
      </c>
      <c r="BT1" s="97">
        <v>2022</v>
      </c>
      <c r="BU1" s="90" t="s">
        <v>234</v>
      </c>
      <c r="BV1" s="584" t="s">
        <v>234</v>
      </c>
      <c r="BW1" s="586">
        <v>2022</v>
      </c>
      <c r="BX1" s="97">
        <v>2022</v>
      </c>
      <c r="BY1" s="97">
        <v>2022</v>
      </c>
      <c r="BZ1" s="90" t="s">
        <v>235</v>
      </c>
      <c r="CA1" s="584" t="s">
        <v>235</v>
      </c>
      <c r="CB1" s="586">
        <v>2022</v>
      </c>
      <c r="CC1" s="97">
        <v>2022</v>
      </c>
      <c r="CD1" s="97">
        <v>2022</v>
      </c>
      <c r="CE1" s="90" t="s">
        <v>236</v>
      </c>
      <c r="CF1" s="584" t="s">
        <v>236</v>
      </c>
      <c r="CG1" s="586">
        <v>2022</v>
      </c>
      <c r="CH1" s="97">
        <v>2022</v>
      </c>
      <c r="CI1" s="97">
        <v>2022</v>
      </c>
      <c r="CJ1" s="90" t="s">
        <v>237</v>
      </c>
      <c r="CK1" s="584" t="s">
        <v>237</v>
      </c>
    </row>
    <row r="2" spans="1:179" s="46" customFormat="1" ht="10.5" customHeight="1" thickBot="1" x14ac:dyDescent="0.25">
      <c r="A2" s="662"/>
      <c r="B2" s="761" t="s">
        <v>176</v>
      </c>
      <c r="C2" s="762"/>
      <c r="D2" s="659" t="s">
        <v>129</v>
      </c>
      <c r="E2" s="660"/>
      <c r="F2" s="98" t="s">
        <v>215</v>
      </c>
      <c r="G2" s="99" t="s">
        <v>216</v>
      </c>
      <c r="H2" s="99" t="s">
        <v>6</v>
      </c>
      <c r="I2" s="100" t="s">
        <v>7</v>
      </c>
      <c r="J2" s="101" t="s">
        <v>162</v>
      </c>
      <c r="K2" s="98" t="s">
        <v>4</v>
      </c>
      <c r="L2" s="99" t="s">
        <v>5</v>
      </c>
      <c r="M2" s="99" t="s">
        <v>6</v>
      </c>
      <c r="N2" s="100" t="s">
        <v>7</v>
      </c>
      <c r="O2" s="101" t="s">
        <v>162</v>
      </c>
      <c r="P2" s="98" t="s">
        <v>4</v>
      </c>
      <c r="Q2" s="99" t="s">
        <v>5</v>
      </c>
      <c r="R2" s="99" t="s">
        <v>6</v>
      </c>
      <c r="S2" s="100" t="s">
        <v>7</v>
      </c>
      <c r="T2" s="102" t="s">
        <v>162</v>
      </c>
      <c r="U2" s="563"/>
      <c r="V2" s="667" t="s">
        <v>186</v>
      </c>
      <c r="W2" s="668"/>
      <c r="X2" s="669"/>
      <c r="Y2" s="103"/>
      <c r="Z2" s="565" t="s">
        <v>163</v>
      </c>
      <c r="AA2" s="604"/>
      <c r="AB2" s="587" t="s">
        <v>164</v>
      </c>
      <c r="AC2" s="104" t="s">
        <v>172</v>
      </c>
      <c r="AD2" s="104" t="s">
        <v>165</v>
      </c>
      <c r="AE2" s="105" t="s">
        <v>171</v>
      </c>
      <c r="AF2" s="585" t="s">
        <v>10</v>
      </c>
      <c r="AG2" s="587" t="s">
        <v>0</v>
      </c>
      <c r="AH2" s="104" t="s">
        <v>166</v>
      </c>
      <c r="AI2" s="104" t="s">
        <v>167</v>
      </c>
      <c r="AJ2" s="105" t="s">
        <v>171</v>
      </c>
      <c r="AK2" s="585" t="s">
        <v>10</v>
      </c>
      <c r="AL2" s="587" t="s">
        <v>168</v>
      </c>
      <c r="AM2" s="104" t="s">
        <v>1</v>
      </c>
      <c r="AN2" s="104" t="s">
        <v>2</v>
      </c>
      <c r="AO2" s="105" t="s">
        <v>171</v>
      </c>
      <c r="AP2" s="585" t="s">
        <v>10</v>
      </c>
      <c r="AQ2" s="587" t="s">
        <v>169</v>
      </c>
      <c r="AR2" s="104" t="s">
        <v>3</v>
      </c>
      <c r="AS2" s="104" t="s">
        <v>170</v>
      </c>
      <c r="AT2" s="105" t="s">
        <v>171</v>
      </c>
      <c r="AU2" s="585" t="s">
        <v>10</v>
      </c>
      <c r="AV2" s="604"/>
      <c r="AW2" s="587" t="s">
        <v>164</v>
      </c>
      <c r="AX2" s="104" t="s">
        <v>172</v>
      </c>
      <c r="AY2" s="104" t="s">
        <v>165</v>
      </c>
      <c r="AZ2" s="105" t="s">
        <v>171</v>
      </c>
      <c r="BA2" s="585" t="s">
        <v>10</v>
      </c>
      <c r="BB2" s="587" t="s">
        <v>0</v>
      </c>
      <c r="BC2" s="104" t="s">
        <v>166</v>
      </c>
      <c r="BD2" s="104" t="s">
        <v>167</v>
      </c>
      <c r="BE2" s="105" t="s">
        <v>171</v>
      </c>
      <c r="BF2" s="585" t="s">
        <v>10</v>
      </c>
      <c r="BG2" s="587" t="s">
        <v>168</v>
      </c>
      <c r="BH2" s="104" t="s">
        <v>1</v>
      </c>
      <c r="BI2" s="104" t="s">
        <v>2</v>
      </c>
      <c r="BJ2" s="105" t="s">
        <v>171</v>
      </c>
      <c r="BK2" s="585" t="s">
        <v>10</v>
      </c>
      <c r="BL2" s="587" t="s">
        <v>169</v>
      </c>
      <c r="BM2" s="104" t="s">
        <v>3</v>
      </c>
      <c r="BN2" s="104" t="s">
        <v>170</v>
      </c>
      <c r="BO2" s="105" t="s">
        <v>171</v>
      </c>
      <c r="BP2" s="585" t="s">
        <v>10</v>
      </c>
      <c r="BQ2" s="103"/>
      <c r="BR2" s="587" t="s">
        <v>164</v>
      </c>
      <c r="BS2" s="104" t="s">
        <v>172</v>
      </c>
      <c r="BT2" s="104" t="s">
        <v>165</v>
      </c>
      <c r="BU2" s="105" t="s">
        <v>171</v>
      </c>
      <c r="BV2" s="585" t="s">
        <v>10</v>
      </c>
      <c r="BW2" s="587" t="s">
        <v>0</v>
      </c>
      <c r="BX2" s="104" t="s">
        <v>166</v>
      </c>
      <c r="BY2" s="104" t="s">
        <v>167</v>
      </c>
      <c r="BZ2" s="105" t="s">
        <v>171</v>
      </c>
      <c r="CA2" s="585" t="s">
        <v>10</v>
      </c>
      <c r="CB2" s="587" t="s">
        <v>168</v>
      </c>
      <c r="CC2" s="104" t="s">
        <v>1</v>
      </c>
      <c r="CD2" s="104" t="s">
        <v>2</v>
      </c>
      <c r="CE2" s="105" t="s">
        <v>171</v>
      </c>
      <c r="CF2" s="585" t="s">
        <v>10</v>
      </c>
      <c r="CG2" s="587" t="s">
        <v>169</v>
      </c>
      <c r="CH2" s="104" t="s">
        <v>3</v>
      </c>
      <c r="CI2" s="104" t="s">
        <v>170</v>
      </c>
      <c r="CJ2" s="105" t="s">
        <v>171</v>
      </c>
      <c r="CK2" s="585" t="s">
        <v>10</v>
      </c>
    </row>
    <row r="3" spans="1:179" s="116" customFormat="1" ht="10.5" customHeight="1" x14ac:dyDescent="0.15">
      <c r="A3" s="467" t="s">
        <v>212</v>
      </c>
      <c r="B3" s="106"/>
      <c r="C3" s="107"/>
      <c r="D3" s="106"/>
      <c r="E3" s="108"/>
      <c r="F3" s="478"/>
      <c r="G3" s="479"/>
      <c r="H3" s="479"/>
      <c r="I3" s="479"/>
      <c r="J3" s="109"/>
      <c r="K3" s="479"/>
      <c r="L3" s="479"/>
      <c r="M3" s="479"/>
      <c r="N3" s="479"/>
      <c r="O3" s="110"/>
      <c r="P3" s="479"/>
      <c r="Q3" s="479"/>
      <c r="R3" s="479"/>
      <c r="S3" s="479"/>
      <c r="T3" s="111"/>
      <c r="U3" s="114"/>
      <c r="V3" s="112"/>
      <c r="W3" s="109"/>
      <c r="X3" s="113"/>
      <c r="Y3" s="114"/>
      <c r="Z3" s="567"/>
      <c r="AA3" s="605"/>
      <c r="AB3" s="478"/>
      <c r="AC3" s="479"/>
      <c r="AD3" s="479"/>
      <c r="AE3" s="479"/>
      <c r="AF3" s="115"/>
      <c r="AG3" s="478"/>
      <c r="AH3" s="479"/>
      <c r="AI3" s="479"/>
      <c r="AJ3" s="479"/>
      <c r="AK3" s="115"/>
      <c r="AL3" s="478"/>
      <c r="AM3" s="479"/>
      <c r="AN3" s="479"/>
      <c r="AO3" s="479"/>
      <c r="AP3" s="115"/>
      <c r="AQ3" s="478"/>
      <c r="AR3" s="479"/>
      <c r="AS3" s="479"/>
      <c r="AT3" s="479"/>
      <c r="AU3" s="115"/>
      <c r="AV3" s="605"/>
      <c r="AW3" s="478"/>
      <c r="AX3" s="479"/>
      <c r="AY3" s="479"/>
      <c r="AZ3" s="479"/>
      <c r="BA3" s="115"/>
      <c r="BB3" s="478"/>
      <c r="BC3" s="479"/>
      <c r="BD3" s="479"/>
      <c r="BE3" s="479"/>
      <c r="BF3" s="115"/>
      <c r="BG3" s="478"/>
      <c r="BH3" s="479"/>
      <c r="BI3" s="479"/>
      <c r="BJ3" s="479"/>
      <c r="BK3" s="115"/>
      <c r="BL3" s="478"/>
      <c r="BM3" s="479"/>
      <c r="BN3" s="479"/>
      <c r="BO3" s="479"/>
      <c r="BP3" s="115"/>
      <c r="BQ3" s="114"/>
      <c r="BR3" s="478"/>
      <c r="BS3" s="479"/>
      <c r="BT3" s="479"/>
      <c r="BU3" s="479"/>
      <c r="BV3" s="115"/>
      <c r="BW3" s="478"/>
      <c r="BX3" s="479"/>
      <c r="BY3" s="479"/>
      <c r="BZ3" s="479"/>
      <c r="CA3" s="115"/>
      <c r="CB3" s="478"/>
      <c r="CC3" s="479"/>
      <c r="CD3" s="479"/>
      <c r="CE3" s="479"/>
      <c r="CF3" s="115"/>
      <c r="CG3" s="478"/>
      <c r="CH3" s="479"/>
      <c r="CI3" s="479"/>
      <c r="CJ3" s="479"/>
      <c r="CK3" s="115"/>
    </row>
    <row r="4" spans="1:179" s="57" customFormat="1" ht="9.75" customHeight="1" x14ac:dyDescent="0.15">
      <c r="A4" s="468" t="s">
        <v>130</v>
      </c>
      <c r="B4" s="117">
        <f>B45</f>
        <v>0.3</v>
      </c>
      <c r="C4" s="118">
        <v>3</v>
      </c>
      <c r="D4" s="670" t="s">
        <v>160</v>
      </c>
      <c r="E4" s="671"/>
      <c r="F4" s="480">
        <f>SUM(1000/G44)</f>
        <v>200</v>
      </c>
      <c r="G4" s="481">
        <f>SUM((F45+F46)/G44)</f>
        <v>200</v>
      </c>
      <c r="H4" s="481">
        <f>SUM((G45+G46)/H44)</f>
        <v>3888.8888888888887</v>
      </c>
      <c r="I4" s="481">
        <f>SUM((H45+H46)/I44)</f>
        <v>3389.8305084745762</v>
      </c>
      <c r="J4" s="119">
        <f>SUM(F4+G4+H4+I4)*3</f>
        <v>23036.158192090395</v>
      </c>
      <c r="K4" s="482">
        <f>SUM((I45+I46)/K44)</f>
        <v>3573.5764135850563</v>
      </c>
      <c r="L4" s="482">
        <f>SUM((K45+K46)/L44)</f>
        <v>8955.1436804054647</v>
      </c>
      <c r="M4" s="482">
        <f>SUM((L45+L46)/M44)</f>
        <v>23583.13025645959</v>
      </c>
      <c r="N4" s="482">
        <f>SUM((M45+M46)/N44)</f>
        <v>64121.36231856732</v>
      </c>
      <c r="O4" s="119">
        <f>SUM(K4+L4+M4+N4)*3</f>
        <v>300699.6380070523</v>
      </c>
      <c r="P4" s="482">
        <f>SUM((N45+N46)/P44)</f>
        <v>160290.87477486327</v>
      </c>
      <c r="Q4" s="482">
        <f>SUM((P45+P46)/Q44)</f>
        <v>384291.97622438637</v>
      </c>
      <c r="R4" s="482">
        <f>SUM((Q45+Q46)/R44)</f>
        <v>940520.69329861936</v>
      </c>
      <c r="S4" s="482">
        <f>SUM((R45+R46)/S44)</f>
        <v>2202249.8283276251</v>
      </c>
      <c r="T4" s="120">
        <f>SUM(P4+Q4+R4+S4)*3</f>
        <v>11062060.117876481</v>
      </c>
      <c r="U4" s="123"/>
      <c r="V4" s="121">
        <f>SUM(V45/V44)</f>
        <v>3999999.9999999972</v>
      </c>
      <c r="W4" s="119">
        <f>SUM(W45/W44)</f>
        <v>4081632.6530612214</v>
      </c>
      <c r="X4" s="122">
        <f>SUM(X45/X44)</f>
        <v>4166666.6666666628</v>
      </c>
      <c r="Y4" s="123"/>
      <c r="Z4" s="568">
        <v>0</v>
      </c>
      <c r="AA4" s="606"/>
      <c r="AB4" s="480">
        <f t="shared" ref="AB4:AB15" si="0">F4</f>
        <v>200</v>
      </c>
      <c r="AC4" s="482">
        <f t="shared" ref="AC4:AC15" si="1">F4</f>
        <v>200</v>
      </c>
      <c r="AD4" s="482">
        <f t="shared" ref="AD4:AD15" si="2">F4</f>
        <v>200</v>
      </c>
      <c r="AE4" s="482">
        <f>SUM(AB4:AD4)</f>
        <v>600</v>
      </c>
      <c r="AF4" s="124"/>
      <c r="AG4" s="480">
        <f t="shared" ref="AG4:AG15" si="3">G4</f>
        <v>200</v>
      </c>
      <c r="AH4" s="482">
        <f t="shared" ref="AH4:AH15" si="4">G4</f>
        <v>200</v>
      </c>
      <c r="AI4" s="482">
        <f t="shared" ref="AI4:AI15" si="5">G4</f>
        <v>200</v>
      </c>
      <c r="AJ4" s="482">
        <f>SUM(AG4:AI4)</f>
        <v>600</v>
      </c>
      <c r="AK4" s="124"/>
      <c r="AL4" s="480">
        <f t="shared" ref="AL4:AL15" si="6">H4</f>
        <v>3888.8888888888887</v>
      </c>
      <c r="AM4" s="482">
        <f t="shared" ref="AM4:AM15" si="7">H4</f>
        <v>3888.8888888888887</v>
      </c>
      <c r="AN4" s="482">
        <f t="shared" ref="AN4:AN15" si="8">H4</f>
        <v>3888.8888888888887</v>
      </c>
      <c r="AO4" s="482">
        <f>SUM(AL4:AN4)</f>
        <v>11666.666666666666</v>
      </c>
      <c r="AP4" s="124"/>
      <c r="AQ4" s="480">
        <f t="shared" ref="AQ4:AQ15" si="9">I4</f>
        <v>3389.8305084745762</v>
      </c>
      <c r="AR4" s="482">
        <f t="shared" ref="AR4:AR15" si="10">I4</f>
        <v>3389.8305084745762</v>
      </c>
      <c r="AS4" s="482">
        <f t="shared" ref="AS4:AS15" si="11">I4</f>
        <v>3389.8305084745762</v>
      </c>
      <c r="AT4" s="482">
        <f>SUM(AQ4:AS4)</f>
        <v>10169.491525423728</v>
      </c>
      <c r="AU4" s="124"/>
      <c r="AV4" s="606"/>
      <c r="AW4" s="480">
        <f t="shared" ref="AW4:AW15" si="12">K4</f>
        <v>3573.5764135850563</v>
      </c>
      <c r="AX4" s="482">
        <f t="shared" ref="AX4:AX15" si="13">K4</f>
        <v>3573.5764135850563</v>
      </c>
      <c r="AY4" s="482">
        <f t="shared" ref="AY4:AY15" si="14">K4</f>
        <v>3573.5764135850563</v>
      </c>
      <c r="AZ4" s="482">
        <f>SUM(AW4:AY4)</f>
        <v>10720.729240755169</v>
      </c>
      <c r="BA4" s="124"/>
      <c r="BB4" s="480">
        <f t="shared" ref="BB4:BB15" si="15">L4</f>
        <v>8955.1436804054647</v>
      </c>
      <c r="BC4" s="482">
        <f t="shared" ref="BC4:BC15" si="16">L4</f>
        <v>8955.1436804054647</v>
      </c>
      <c r="BD4" s="482">
        <f t="shared" ref="BD4:BD15" si="17">L4</f>
        <v>8955.1436804054647</v>
      </c>
      <c r="BE4" s="482">
        <f>SUM(BB4:BD4)</f>
        <v>26865.431041216394</v>
      </c>
      <c r="BF4" s="124"/>
      <c r="BG4" s="480">
        <f t="shared" ref="BG4:BG15" si="18">M4</f>
        <v>23583.13025645959</v>
      </c>
      <c r="BH4" s="482">
        <f t="shared" ref="BH4:BH15" si="19">M4</f>
        <v>23583.13025645959</v>
      </c>
      <c r="BI4" s="482">
        <f t="shared" ref="BI4:BI15" si="20">M4</f>
        <v>23583.13025645959</v>
      </c>
      <c r="BJ4" s="482">
        <f>SUM(BG4:BI4)</f>
        <v>70749.390769378777</v>
      </c>
      <c r="BK4" s="124"/>
      <c r="BL4" s="480">
        <f t="shared" ref="BL4:BL15" si="21">N4</f>
        <v>64121.36231856732</v>
      </c>
      <c r="BM4" s="482">
        <f t="shared" ref="BM4:BM15" si="22">N4</f>
        <v>64121.36231856732</v>
      </c>
      <c r="BN4" s="482">
        <f t="shared" ref="BN4:BN15" si="23">N4</f>
        <v>64121.36231856732</v>
      </c>
      <c r="BO4" s="482">
        <f>SUM(BL4:BN4)</f>
        <v>192364.08695570196</v>
      </c>
      <c r="BP4" s="124"/>
      <c r="BQ4" s="123"/>
      <c r="BR4" s="480">
        <f t="shared" ref="BR4:BR15" si="24">P4</f>
        <v>160290.87477486327</v>
      </c>
      <c r="BS4" s="482">
        <f t="shared" ref="BS4:BS15" si="25">P4</f>
        <v>160290.87477486327</v>
      </c>
      <c r="BT4" s="482">
        <f t="shared" ref="BT4:BT15" si="26">P4</f>
        <v>160290.87477486327</v>
      </c>
      <c r="BU4" s="482">
        <f>SUM(BR4:BT4)</f>
        <v>480872.62432458985</v>
      </c>
      <c r="BV4" s="124"/>
      <c r="BW4" s="480">
        <f t="shared" ref="BW4:BW15" si="27">Q4</f>
        <v>384291.97622438637</v>
      </c>
      <c r="BX4" s="482">
        <f t="shared" ref="BX4:BX15" si="28">Q4</f>
        <v>384291.97622438637</v>
      </c>
      <c r="BY4" s="482">
        <f t="shared" ref="BY4:BY15" si="29">Q4</f>
        <v>384291.97622438637</v>
      </c>
      <c r="BZ4" s="482">
        <f>SUM(BW4:BY4)</f>
        <v>1152875.9286731591</v>
      </c>
      <c r="CA4" s="124"/>
      <c r="CB4" s="480">
        <f t="shared" ref="CB4:CB15" si="30">R4</f>
        <v>940520.69329861936</v>
      </c>
      <c r="CC4" s="482">
        <f t="shared" ref="CC4:CC15" si="31">R4</f>
        <v>940520.69329861936</v>
      </c>
      <c r="CD4" s="482">
        <f t="shared" ref="CD4:CD15" si="32">R4</f>
        <v>940520.69329861936</v>
      </c>
      <c r="CE4" s="482">
        <f>SUM(CB4:CD4)</f>
        <v>2821562.0798958582</v>
      </c>
      <c r="CF4" s="124"/>
      <c r="CG4" s="480">
        <f t="shared" ref="CG4:CG15" si="33">S4</f>
        <v>2202249.8283276251</v>
      </c>
      <c r="CH4" s="482">
        <f t="shared" ref="CH4:CH15" si="34">S4</f>
        <v>2202249.8283276251</v>
      </c>
      <c r="CI4" s="482">
        <f t="shared" ref="CI4:CI15" si="35">S4</f>
        <v>2202249.8283276251</v>
      </c>
      <c r="CJ4" s="482">
        <f>SUM(CG4:CI4)</f>
        <v>6606749.4849828752</v>
      </c>
      <c r="CK4" s="124"/>
    </row>
    <row r="5" spans="1:179" s="57" customFormat="1" ht="9.75" customHeight="1" x14ac:dyDescent="0.15">
      <c r="A5" s="468" t="s">
        <v>131</v>
      </c>
      <c r="B5" s="284">
        <v>800</v>
      </c>
      <c r="C5" s="126">
        <v>0.08</v>
      </c>
      <c r="D5" s="693"/>
      <c r="E5" s="694"/>
      <c r="F5" s="127">
        <v>1500</v>
      </c>
      <c r="G5" s="128">
        <v>2000</v>
      </c>
      <c r="H5" s="482">
        <f>SUM((IF(ISBLANK(D5),B5,D5))+(G5)*(IF(ISBLANK(E5),(1+C5),(1+E5))))</f>
        <v>2960</v>
      </c>
      <c r="I5" s="482">
        <f>SUM((IF(ISBLANK(D5),B5,D5))+(H5)*(IF(ISBLANK(E5),(1+C5),(1+E5))))</f>
        <v>3996.8</v>
      </c>
      <c r="J5" s="119">
        <f>SUM(F5+G5+H5+I5)*3</f>
        <v>31370.399999999998</v>
      </c>
      <c r="K5" s="482">
        <f>SUM((IF(ISBLANK(D5),B5,D5))+(I5)*(IF(ISBLANK(E5),(1+C5),(1+E5))))</f>
        <v>5116.5440000000008</v>
      </c>
      <c r="L5" s="482">
        <f>SUM((IF(ISBLANK(D5),B5,D5))+(K5)*(IF(ISBLANK(E5),(1+C5),(1+E5))))</f>
        <v>6325.8675200000016</v>
      </c>
      <c r="M5" s="482">
        <f>SUM((IF(ISBLANK(D5),B5,D5))+(L5)*(IF(ISBLANK(E5),(1+C5),(1+E5))))</f>
        <v>7631.9369216000023</v>
      </c>
      <c r="N5" s="482">
        <f>SUM((IF(ISBLANK(D5),B5,D5))+(M5)*(IF(ISBLANK(E5),(1+C5),(1+E5))))</f>
        <v>9042.4918753280035</v>
      </c>
      <c r="O5" s="119">
        <f>SUM(K5+L5+M5+N5)*3</f>
        <v>84350.520950784019</v>
      </c>
      <c r="P5" s="482">
        <f>SUM((IF(ISBLANK(D5),B5,D5))+(N5)*(IF(ISBLANK(E5),(1+C5),(1+E5))))</f>
        <v>10565.891225354244</v>
      </c>
      <c r="Q5" s="482">
        <f>SUM((IF(ISBLANK(D5),B5,D5))+(P5)*(IF(ISBLANK(E5),(1+C5),(1+E5))))</f>
        <v>12211.162523382583</v>
      </c>
      <c r="R5" s="482">
        <f>SUM((IF(ISBLANK(D5),B5,D5))+(Q5)*(IF(ISBLANK(E5),(1+C5),(1+E5))))</f>
        <v>13988.05552525319</v>
      </c>
      <c r="S5" s="482">
        <f>SUM((IF(ISBLANK(D5),B5,D5))+(R5)*(IF(ISBLANK(E5),(1+C5),(1+E5))))</f>
        <v>15907.099967273447</v>
      </c>
      <c r="T5" s="120">
        <f>SUM(P5+Q5+R5+S5)*3</f>
        <v>158016.62772379041</v>
      </c>
      <c r="U5" s="123"/>
      <c r="V5" s="121">
        <f>SUM((IF(ISBLANK(D5),B5,D5))+(S5)*(IF(ISBLANK(E5),(1+C5),(1+E5))))*12</f>
        <v>215756.01557586389</v>
      </c>
      <c r="W5" s="119">
        <f>SUM((IF(ISBLANK(D5),B5,D5))+(V5)*(IF(ISBLANK(E5),(1+C5),(1+E5))))</f>
        <v>233816.49682193302</v>
      </c>
      <c r="X5" s="122">
        <f>SUM((IF(ISBLANK(D5),B5,D5))+(W5)*(IF(ISBLANK(E5),(1+C5),(1+E5))))</f>
        <v>253321.81656768767</v>
      </c>
      <c r="Y5" s="123"/>
      <c r="Z5" s="568">
        <v>2300</v>
      </c>
      <c r="AA5" s="606"/>
      <c r="AB5" s="480">
        <f t="shared" si="0"/>
        <v>1500</v>
      </c>
      <c r="AC5" s="482">
        <f t="shared" si="1"/>
        <v>1500</v>
      </c>
      <c r="AD5" s="482">
        <f t="shared" si="2"/>
        <v>1500</v>
      </c>
      <c r="AE5" s="482">
        <f>SUM(AB5:AD5)</f>
        <v>4500</v>
      </c>
      <c r="AF5" s="124"/>
      <c r="AG5" s="480">
        <f t="shared" si="3"/>
        <v>2000</v>
      </c>
      <c r="AH5" s="482">
        <f t="shared" si="4"/>
        <v>2000</v>
      </c>
      <c r="AI5" s="482">
        <f t="shared" si="5"/>
        <v>2000</v>
      </c>
      <c r="AJ5" s="482">
        <f>SUM(AG5:AI5)</f>
        <v>6000</v>
      </c>
      <c r="AK5" s="124"/>
      <c r="AL5" s="480">
        <f t="shared" si="6"/>
        <v>2960</v>
      </c>
      <c r="AM5" s="482">
        <f t="shared" si="7"/>
        <v>2960</v>
      </c>
      <c r="AN5" s="482">
        <f t="shared" si="8"/>
        <v>2960</v>
      </c>
      <c r="AO5" s="482">
        <f>SUM(AL5:AN5)</f>
        <v>8880</v>
      </c>
      <c r="AP5" s="124"/>
      <c r="AQ5" s="480">
        <f t="shared" si="9"/>
        <v>3996.8</v>
      </c>
      <c r="AR5" s="482">
        <f t="shared" si="10"/>
        <v>3996.8</v>
      </c>
      <c r="AS5" s="482">
        <f t="shared" si="11"/>
        <v>3996.8</v>
      </c>
      <c r="AT5" s="482">
        <f>SUM(AQ5:AS5)</f>
        <v>11990.400000000001</v>
      </c>
      <c r="AU5" s="124"/>
      <c r="AV5" s="606"/>
      <c r="AW5" s="480">
        <f t="shared" si="12"/>
        <v>5116.5440000000008</v>
      </c>
      <c r="AX5" s="482">
        <f t="shared" si="13"/>
        <v>5116.5440000000008</v>
      </c>
      <c r="AY5" s="482">
        <f t="shared" si="14"/>
        <v>5116.5440000000008</v>
      </c>
      <c r="AZ5" s="482">
        <f>SUM(AW5:AY5)</f>
        <v>15349.632000000001</v>
      </c>
      <c r="BA5" s="124"/>
      <c r="BB5" s="480">
        <f t="shared" si="15"/>
        <v>6325.8675200000016</v>
      </c>
      <c r="BC5" s="482">
        <f t="shared" si="16"/>
        <v>6325.8675200000016</v>
      </c>
      <c r="BD5" s="482">
        <f t="shared" si="17"/>
        <v>6325.8675200000016</v>
      </c>
      <c r="BE5" s="482">
        <f>SUM(BB5:BD5)</f>
        <v>18977.602560000007</v>
      </c>
      <c r="BF5" s="124"/>
      <c r="BG5" s="480">
        <f t="shared" si="18"/>
        <v>7631.9369216000023</v>
      </c>
      <c r="BH5" s="482">
        <f t="shared" si="19"/>
        <v>7631.9369216000023</v>
      </c>
      <c r="BI5" s="482">
        <f t="shared" si="20"/>
        <v>7631.9369216000023</v>
      </c>
      <c r="BJ5" s="482">
        <f>SUM(BG5:BI5)</f>
        <v>22895.810764800008</v>
      </c>
      <c r="BK5" s="124"/>
      <c r="BL5" s="480">
        <f t="shared" si="21"/>
        <v>9042.4918753280035</v>
      </c>
      <c r="BM5" s="482">
        <f t="shared" si="22"/>
        <v>9042.4918753280035</v>
      </c>
      <c r="BN5" s="482">
        <f t="shared" si="23"/>
        <v>9042.4918753280035</v>
      </c>
      <c r="BO5" s="482">
        <f>SUM(BL5:BN5)</f>
        <v>27127.475625984011</v>
      </c>
      <c r="BP5" s="124"/>
      <c r="BQ5" s="123"/>
      <c r="BR5" s="480">
        <f t="shared" si="24"/>
        <v>10565.891225354244</v>
      </c>
      <c r="BS5" s="482">
        <f t="shared" si="25"/>
        <v>10565.891225354244</v>
      </c>
      <c r="BT5" s="482">
        <f t="shared" si="26"/>
        <v>10565.891225354244</v>
      </c>
      <c r="BU5" s="482">
        <f>SUM(BR5:BT5)</f>
        <v>31697.673676062732</v>
      </c>
      <c r="BV5" s="124"/>
      <c r="BW5" s="480">
        <f t="shared" si="27"/>
        <v>12211.162523382583</v>
      </c>
      <c r="BX5" s="482">
        <f t="shared" si="28"/>
        <v>12211.162523382583</v>
      </c>
      <c r="BY5" s="482">
        <f t="shared" si="29"/>
        <v>12211.162523382583</v>
      </c>
      <c r="BZ5" s="482">
        <f>SUM(BW5:BY5)</f>
        <v>36633.48757014775</v>
      </c>
      <c r="CA5" s="124"/>
      <c r="CB5" s="480">
        <f t="shared" si="30"/>
        <v>13988.05552525319</v>
      </c>
      <c r="CC5" s="482">
        <f t="shared" si="31"/>
        <v>13988.05552525319</v>
      </c>
      <c r="CD5" s="482">
        <f t="shared" si="32"/>
        <v>13988.05552525319</v>
      </c>
      <c r="CE5" s="482">
        <f>SUM(CB5:CD5)</f>
        <v>41964.166575759569</v>
      </c>
      <c r="CF5" s="124"/>
      <c r="CG5" s="480">
        <f t="shared" si="33"/>
        <v>15907.099967273447</v>
      </c>
      <c r="CH5" s="482">
        <f t="shared" si="34"/>
        <v>15907.099967273447</v>
      </c>
      <c r="CI5" s="482">
        <f t="shared" si="35"/>
        <v>15907.099967273447</v>
      </c>
      <c r="CJ5" s="482">
        <f>SUM(CG5:CI5)</f>
        <v>47721.299901820341</v>
      </c>
      <c r="CK5" s="124"/>
    </row>
    <row r="6" spans="1:179" s="57" customFormat="1" ht="9.75" customHeight="1" x14ac:dyDescent="0.15">
      <c r="A6" s="468" t="s">
        <v>132</v>
      </c>
      <c r="B6" s="370">
        <v>500</v>
      </c>
      <c r="C6" s="285">
        <v>0.05</v>
      </c>
      <c r="D6" s="129"/>
      <c r="E6" s="624"/>
      <c r="F6" s="127">
        <v>0</v>
      </c>
      <c r="G6" s="128">
        <v>100</v>
      </c>
      <c r="H6" s="482">
        <f>SUM(IF(ISBLANK(D6),B6,D6)+(G18*(IF(ISBLANK(E6),C6,E6))))</f>
        <v>755.95070764537581</v>
      </c>
      <c r="I6" s="482">
        <f>SUM(IF(ISBLANK(D6),B6,D6)+(H18*(IF(ISBLANK(E6),C6,E6))))</f>
        <v>2312.1511018527935</v>
      </c>
      <c r="J6" s="119">
        <f>SUM(F6+G6+H6+I6)*3</f>
        <v>9504.3054284945065</v>
      </c>
      <c r="K6" s="482">
        <f>SUM(IF(ISBLANK(D6),B6,D6)+(I18*(IF(ISBLANK(E6),C6,E6))))</f>
        <v>5212.5858932754627</v>
      </c>
      <c r="L6" s="482">
        <f>SUM(IF(ISBLANK(D6),B6,D6)+(K18*(IF(ISBLANK(E6),C6,E6))))</f>
        <v>10756.884820505838</v>
      </c>
      <c r="M6" s="482">
        <f>SUM(IF(ISBLANK(D6),B6,D6)+(L18*(IF(ISBLANK(E6),C6,E6))))</f>
        <v>21539.006079868112</v>
      </c>
      <c r="N6" s="482">
        <f>SUM(IF(ISBLANK(D6),B6,D6)+(M18*(IF(ISBLANK(E6),C6,E6))))</f>
        <v>42480.818986442588</v>
      </c>
      <c r="O6" s="119">
        <f>SUM(K6+L6+M6+N6)*3</f>
        <v>239967.88734027604</v>
      </c>
      <c r="P6" s="482">
        <f>SUM(IF(ISBLANK(D6),B6,D6)+(N18*(IF(ISBLANK(E6),C6,E6))))</f>
        <v>83974.577570170819</v>
      </c>
      <c r="Q6" s="482">
        <f>SUM(IF(ISBLANK(D6),B6,D6)+(P18*(IF(ISBLANK(E6),C6,E6))))</f>
        <v>166552.56698315355</v>
      </c>
      <c r="R6" s="482">
        <f>SUM(IF(ISBLANK(D6),B6,D6)+(Q18*(IF(ISBLANK(E6),C6,E6))))</f>
        <v>331712.18461569381</v>
      </c>
      <c r="S6" s="482">
        <f>SUM(IF(ISBLANK(D6),B6,D6)+(R18*(IF(ISBLANK(E6),C6,E6))))</f>
        <v>676856.19587878266</v>
      </c>
      <c r="T6" s="120">
        <f>SUM(P6+Q6+R6+S6)*3</f>
        <v>3777286.5751434029</v>
      </c>
      <c r="U6" s="123"/>
      <c r="V6" s="121">
        <f>SUM(IF(ISBLANK(D6),B6,D6)+(S18*(IF(ISBLANK(E6),C6,E6))))*12</f>
        <v>16919815.753436696</v>
      </c>
      <c r="W6" s="119">
        <f>SUM(IF(ISBLANK(D6),B6,D6)+(V18*(IF(ISBLANK(E6),C6,E6))))*12</f>
        <v>51797644.620681822</v>
      </c>
      <c r="X6" s="122">
        <f>SUM(IF(ISBLANK(D6),B6,D6)+(W18*(IF(ISBLANK(E6),C6,E6))))*12</f>
        <v>130208858.38447899</v>
      </c>
      <c r="Y6" s="123"/>
      <c r="Z6" s="568">
        <v>0</v>
      </c>
      <c r="AA6" s="606"/>
      <c r="AB6" s="480">
        <f t="shared" si="0"/>
        <v>0</v>
      </c>
      <c r="AC6" s="482">
        <f t="shared" si="1"/>
        <v>0</v>
      </c>
      <c r="AD6" s="482">
        <f t="shared" si="2"/>
        <v>0</v>
      </c>
      <c r="AE6" s="482">
        <f t="shared" ref="AE6:AE17" si="36">SUM(AB6:AD6)</f>
        <v>0</v>
      </c>
      <c r="AF6" s="124"/>
      <c r="AG6" s="480">
        <f t="shared" si="3"/>
        <v>100</v>
      </c>
      <c r="AH6" s="482">
        <f t="shared" si="4"/>
        <v>100</v>
      </c>
      <c r="AI6" s="482">
        <f t="shared" si="5"/>
        <v>100</v>
      </c>
      <c r="AJ6" s="482">
        <f t="shared" ref="AJ6:AJ17" si="37">SUM(AG6:AI6)</f>
        <v>300</v>
      </c>
      <c r="AK6" s="124"/>
      <c r="AL6" s="480">
        <f t="shared" si="6"/>
        <v>755.95070764537581</v>
      </c>
      <c r="AM6" s="482">
        <f t="shared" si="7"/>
        <v>755.95070764537581</v>
      </c>
      <c r="AN6" s="482">
        <f t="shared" si="8"/>
        <v>755.95070764537581</v>
      </c>
      <c r="AO6" s="482">
        <f t="shared" ref="AO6:AO17" si="38">SUM(AL6:AN6)</f>
        <v>2267.8521229361277</v>
      </c>
      <c r="AP6" s="124"/>
      <c r="AQ6" s="480">
        <f t="shared" si="9"/>
        <v>2312.1511018527935</v>
      </c>
      <c r="AR6" s="482">
        <f t="shared" si="10"/>
        <v>2312.1511018527935</v>
      </c>
      <c r="AS6" s="482">
        <f t="shared" si="11"/>
        <v>2312.1511018527935</v>
      </c>
      <c r="AT6" s="482">
        <f t="shared" ref="AT6:AT17" si="39">SUM(AQ6:AS6)</f>
        <v>6936.4533055583806</v>
      </c>
      <c r="AU6" s="124"/>
      <c r="AV6" s="606"/>
      <c r="AW6" s="480">
        <f t="shared" si="12"/>
        <v>5212.5858932754627</v>
      </c>
      <c r="AX6" s="482">
        <f t="shared" si="13"/>
        <v>5212.5858932754627</v>
      </c>
      <c r="AY6" s="482">
        <f t="shared" si="14"/>
        <v>5212.5858932754627</v>
      </c>
      <c r="AZ6" s="482">
        <f t="shared" ref="AZ6:AZ17" si="40">SUM(AW6:AY6)</f>
        <v>15637.757679826387</v>
      </c>
      <c r="BA6" s="124"/>
      <c r="BB6" s="480">
        <f t="shared" si="15"/>
        <v>10756.884820505838</v>
      </c>
      <c r="BC6" s="482">
        <f t="shared" si="16"/>
        <v>10756.884820505838</v>
      </c>
      <c r="BD6" s="482">
        <f t="shared" si="17"/>
        <v>10756.884820505838</v>
      </c>
      <c r="BE6" s="482">
        <f t="shared" ref="BE6:BE17" si="41">SUM(BB6:BD6)</f>
        <v>32270.654461517515</v>
      </c>
      <c r="BF6" s="124"/>
      <c r="BG6" s="480">
        <f t="shared" si="18"/>
        <v>21539.006079868112</v>
      </c>
      <c r="BH6" s="482">
        <f t="shared" si="19"/>
        <v>21539.006079868112</v>
      </c>
      <c r="BI6" s="482">
        <f t="shared" si="20"/>
        <v>21539.006079868112</v>
      </c>
      <c r="BJ6" s="482">
        <f t="shared" ref="BJ6:BJ17" si="42">SUM(BG6:BI6)</f>
        <v>64617.018239604338</v>
      </c>
      <c r="BK6" s="124"/>
      <c r="BL6" s="480">
        <f t="shared" si="21"/>
        <v>42480.818986442588</v>
      </c>
      <c r="BM6" s="482">
        <f t="shared" si="22"/>
        <v>42480.818986442588</v>
      </c>
      <c r="BN6" s="482">
        <f t="shared" si="23"/>
        <v>42480.818986442588</v>
      </c>
      <c r="BO6" s="482">
        <f t="shared" ref="BO6:BO8" si="43">SUM(BL6:BN6)</f>
        <v>127442.45695932777</v>
      </c>
      <c r="BP6" s="124"/>
      <c r="BQ6" s="123"/>
      <c r="BR6" s="480">
        <f t="shared" si="24"/>
        <v>83974.577570170819</v>
      </c>
      <c r="BS6" s="482">
        <f t="shared" si="25"/>
        <v>83974.577570170819</v>
      </c>
      <c r="BT6" s="482">
        <f t="shared" si="26"/>
        <v>83974.577570170819</v>
      </c>
      <c r="BU6" s="482">
        <f t="shared" ref="BU6:BU8" si="44">SUM(BR6:BT6)</f>
        <v>251923.73271051247</v>
      </c>
      <c r="BV6" s="124"/>
      <c r="BW6" s="480">
        <f t="shared" si="27"/>
        <v>166552.56698315355</v>
      </c>
      <c r="BX6" s="482">
        <f t="shared" si="28"/>
        <v>166552.56698315355</v>
      </c>
      <c r="BY6" s="482">
        <f t="shared" si="29"/>
        <v>166552.56698315355</v>
      </c>
      <c r="BZ6" s="482">
        <f t="shared" ref="BZ6:BZ8" si="45">SUM(BW6:BY6)</f>
        <v>499657.70094946062</v>
      </c>
      <c r="CA6" s="124"/>
      <c r="CB6" s="480">
        <f t="shared" si="30"/>
        <v>331712.18461569381</v>
      </c>
      <c r="CC6" s="482">
        <f t="shared" si="31"/>
        <v>331712.18461569381</v>
      </c>
      <c r="CD6" s="482">
        <f t="shared" si="32"/>
        <v>331712.18461569381</v>
      </c>
      <c r="CE6" s="482">
        <f t="shared" ref="CE6:CE7" si="46">SUM(CB6:CD6)</f>
        <v>995136.55384708149</v>
      </c>
      <c r="CF6" s="124"/>
      <c r="CG6" s="480">
        <f t="shared" si="33"/>
        <v>676856.19587878266</v>
      </c>
      <c r="CH6" s="482">
        <f t="shared" si="34"/>
        <v>676856.19587878266</v>
      </c>
      <c r="CI6" s="482">
        <f t="shared" si="35"/>
        <v>676856.19587878266</v>
      </c>
      <c r="CJ6" s="482">
        <f t="shared" ref="CJ6:CJ8" si="47">SUM(CG6:CI6)</f>
        <v>2030568.5876363479</v>
      </c>
      <c r="CK6" s="124"/>
    </row>
    <row r="7" spans="1:179" s="57" customFormat="1" ht="9.75" customHeight="1" x14ac:dyDescent="0.15">
      <c r="A7" s="468" t="s">
        <v>133</v>
      </c>
      <c r="B7" s="121">
        <v>100</v>
      </c>
      <c r="C7" s="285">
        <v>0.01</v>
      </c>
      <c r="D7" s="129"/>
      <c r="E7" s="624"/>
      <c r="F7" s="127">
        <v>0</v>
      </c>
      <c r="G7" s="128">
        <v>0</v>
      </c>
      <c r="H7" s="128">
        <v>0</v>
      </c>
      <c r="I7" s="128">
        <v>0</v>
      </c>
      <c r="J7" s="119">
        <f>SUM((F7+G7+H7+I7)*3)</f>
        <v>0</v>
      </c>
      <c r="K7" s="482">
        <f>SUM(IF(ISBLANK(D7),B7,D7)+(I18*(IF(ISBLANK(E7),C7,E7))))</f>
        <v>1042.5171786550927</v>
      </c>
      <c r="L7" s="482">
        <f>SUM(IF(ISBLANK(D7),B7,D7)+(K18*(IF(ISBLANK(E7),C7,E7))))</f>
        <v>2151.3769641011672</v>
      </c>
      <c r="M7" s="482">
        <f>SUM(IF(ISBLANK(D7),B7,D7)+(L18*(IF(ISBLANK(E7),C7,E7))))</f>
        <v>4307.8012159736227</v>
      </c>
      <c r="N7" s="482">
        <f>SUM(IF(ISBLANK(D7),B7,D7)+(M18*(IF(ISBLANK(E7),C7,E7))))</f>
        <v>8496.1637972885183</v>
      </c>
      <c r="O7" s="119">
        <f>SUM(K7+L7+M7+N7)*3</f>
        <v>47993.577468055206</v>
      </c>
      <c r="P7" s="482">
        <f>SUM(IF(ISBLANK(D7),B7,D7)+(N18*(IF(ISBLANK(E7),C7,E7))))</f>
        <v>16794.915514034165</v>
      </c>
      <c r="Q7" s="482">
        <f>SUM(IF(ISBLANK(D7),B7,D7)+(P18*(IF(ISBLANK(E7),C7,E7))))</f>
        <v>33310.513396630704</v>
      </c>
      <c r="R7" s="482">
        <f>SUM(IF(ISBLANK(D7),B7,D7)+(Q18*(IF(ISBLANK(E7),C7,E7))))</f>
        <v>66342.436923138768</v>
      </c>
      <c r="S7" s="482">
        <f>SUM(IF(ISBLANK(D7),B7,D7)+(R18*(IF(ISBLANK(E7),C7,E7))))</f>
        <v>135371.23917575652</v>
      </c>
      <c r="T7" s="120">
        <f>SUM(P7+Q7+R7+S7)*3</f>
        <v>755457.31502868049</v>
      </c>
      <c r="U7" s="123"/>
      <c r="V7" s="121">
        <f>SUM(IF(ISBLANK(D7),B7,D7)+(S18*(IF(ISBLANK(E7),C7,E7))))*12</f>
        <v>3383963.1506873388</v>
      </c>
      <c r="W7" s="119">
        <f>SUM(IF(ISBLANK(D7),B7,D7)+(V18*(IF(ISBLANK(E7),C7,E7))))*12</f>
        <v>10359528.924136367</v>
      </c>
      <c r="X7" s="122">
        <f>SUM(IF(ISBLANK(D7),B7,D7)+(W18*(IF(ISBLANK(E7),C7,E7))))*12</f>
        <v>26041771.676895797</v>
      </c>
      <c r="Y7" s="123"/>
      <c r="Z7" s="568">
        <v>0</v>
      </c>
      <c r="AA7" s="606"/>
      <c r="AB7" s="480">
        <f t="shared" si="0"/>
        <v>0</v>
      </c>
      <c r="AC7" s="482">
        <f t="shared" si="1"/>
        <v>0</v>
      </c>
      <c r="AD7" s="482">
        <f t="shared" si="2"/>
        <v>0</v>
      </c>
      <c r="AE7" s="482">
        <f t="shared" si="36"/>
        <v>0</v>
      </c>
      <c r="AF7" s="124"/>
      <c r="AG7" s="480">
        <f t="shared" si="3"/>
        <v>0</v>
      </c>
      <c r="AH7" s="482">
        <f t="shared" si="4"/>
        <v>0</v>
      </c>
      <c r="AI7" s="482">
        <f t="shared" si="5"/>
        <v>0</v>
      </c>
      <c r="AJ7" s="482">
        <f t="shared" si="37"/>
        <v>0</v>
      </c>
      <c r="AK7" s="124"/>
      <c r="AL7" s="480">
        <f t="shared" si="6"/>
        <v>0</v>
      </c>
      <c r="AM7" s="482">
        <f t="shared" si="7"/>
        <v>0</v>
      </c>
      <c r="AN7" s="482">
        <f t="shared" si="8"/>
        <v>0</v>
      </c>
      <c r="AO7" s="482">
        <f t="shared" si="38"/>
        <v>0</v>
      </c>
      <c r="AP7" s="124"/>
      <c r="AQ7" s="480">
        <f t="shared" si="9"/>
        <v>0</v>
      </c>
      <c r="AR7" s="482">
        <f t="shared" si="10"/>
        <v>0</v>
      </c>
      <c r="AS7" s="482">
        <f t="shared" si="11"/>
        <v>0</v>
      </c>
      <c r="AT7" s="482">
        <f t="shared" si="39"/>
        <v>0</v>
      </c>
      <c r="AU7" s="124"/>
      <c r="AV7" s="606"/>
      <c r="AW7" s="480">
        <f t="shared" si="12"/>
        <v>1042.5171786550927</v>
      </c>
      <c r="AX7" s="482">
        <f t="shared" si="13"/>
        <v>1042.5171786550927</v>
      </c>
      <c r="AY7" s="482">
        <f t="shared" si="14"/>
        <v>1042.5171786550927</v>
      </c>
      <c r="AZ7" s="482">
        <f t="shared" si="40"/>
        <v>3127.5515359652782</v>
      </c>
      <c r="BA7" s="124"/>
      <c r="BB7" s="480">
        <f t="shared" si="15"/>
        <v>2151.3769641011672</v>
      </c>
      <c r="BC7" s="482">
        <f t="shared" si="16"/>
        <v>2151.3769641011672</v>
      </c>
      <c r="BD7" s="482">
        <f t="shared" si="17"/>
        <v>2151.3769641011672</v>
      </c>
      <c r="BE7" s="482">
        <f t="shared" si="41"/>
        <v>6454.1308923035012</v>
      </c>
      <c r="BF7" s="124"/>
      <c r="BG7" s="480">
        <f t="shared" si="18"/>
        <v>4307.8012159736227</v>
      </c>
      <c r="BH7" s="482">
        <f t="shared" si="19"/>
        <v>4307.8012159736227</v>
      </c>
      <c r="BI7" s="482">
        <f t="shared" si="20"/>
        <v>4307.8012159736227</v>
      </c>
      <c r="BJ7" s="482">
        <f t="shared" si="42"/>
        <v>12923.403647920868</v>
      </c>
      <c r="BK7" s="124"/>
      <c r="BL7" s="480">
        <f t="shared" si="21"/>
        <v>8496.1637972885183</v>
      </c>
      <c r="BM7" s="482">
        <f t="shared" si="22"/>
        <v>8496.1637972885183</v>
      </c>
      <c r="BN7" s="482">
        <f t="shared" si="23"/>
        <v>8496.1637972885183</v>
      </c>
      <c r="BO7" s="482">
        <f t="shared" si="43"/>
        <v>25488.491391865555</v>
      </c>
      <c r="BP7" s="124"/>
      <c r="BQ7" s="123"/>
      <c r="BR7" s="480">
        <f t="shared" si="24"/>
        <v>16794.915514034165</v>
      </c>
      <c r="BS7" s="482">
        <f t="shared" si="25"/>
        <v>16794.915514034165</v>
      </c>
      <c r="BT7" s="482">
        <f t="shared" si="26"/>
        <v>16794.915514034165</v>
      </c>
      <c r="BU7" s="482">
        <f t="shared" si="44"/>
        <v>50384.746542102497</v>
      </c>
      <c r="BV7" s="124"/>
      <c r="BW7" s="480">
        <f t="shared" si="27"/>
        <v>33310.513396630704</v>
      </c>
      <c r="BX7" s="482">
        <f t="shared" si="28"/>
        <v>33310.513396630704</v>
      </c>
      <c r="BY7" s="482">
        <f t="shared" si="29"/>
        <v>33310.513396630704</v>
      </c>
      <c r="BZ7" s="482">
        <f t="shared" si="45"/>
        <v>99931.540189892112</v>
      </c>
      <c r="CA7" s="124"/>
      <c r="CB7" s="480">
        <f t="shared" si="30"/>
        <v>66342.436923138768</v>
      </c>
      <c r="CC7" s="482">
        <f t="shared" si="31"/>
        <v>66342.436923138768</v>
      </c>
      <c r="CD7" s="482">
        <f t="shared" si="32"/>
        <v>66342.436923138768</v>
      </c>
      <c r="CE7" s="482">
        <f t="shared" si="46"/>
        <v>199027.3107694163</v>
      </c>
      <c r="CF7" s="124"/>
      <c r="CG7" s="480">
        <f t="shared" si="33"/>
        <v>135371.23917575652</v>
      </c>
      <c r="CH7" s="482">
        <f t="shared" si="34"/>
        <v>135371.23917575652</v>
      </c>
      <c r="CI7" s="482">
        <f t="shared" si="35"/>
        <v>135371.23917575652</v>
      </c>
      <c r="CJ7" s="482">
        <f t="shared" si="47"/>
        <v>406113.71752726956</v>
      </c>
      <c r="CK7" s="124"/>
    </row>
    <row r="8" spans="1:179" s="57" customFormat="1" ht="9.75" customHeight="1" thickBot="1" x14ac:dyDescent="0.2">
      <c r="A8" s="469" t="s">
        <v>134</v>
      </c>
      <c r="B8" s="130">
        <v>5000000</v>
      </c>
      <c r="C8" s="131">
        <v>300000000</v>
      </c>
      <c r="D8" s="132"/>
      <c r="E8" s="287"/>
      <c r="F8" s="508">
        <f>SUM(IF(((1-(Z18/(IF(ISBLANK(D8),B8,(IF(D8=0,9.99999999999999E+29,D8))))))*SUM(F4:F7))&lt;0,0,((1-(Z18/(IF(ISBLANK(D8),B8,(IF(D8=0,9.99999999999999E+29,D8))))))*SUM(F4:F7))))</f>
        <v>1699.49</v>
      </c>
      <c r="G8" s="509">
        <f>SUM(IF(((1-(F18/(IF(ISBLANK(D8),B8,(IF(D8=0,9.99999999999999E+29,D8))))))*SUM(G4:G7))&lt;0,0,((1-(F18/(IF(ISBLANK(D8),B8,(IF(D8=0,9.99999999999999E+29,D8))))))*SUM(G4:G7))))</f>
        <v>2299.0132015260306</v>
      </c>
      <c r="H8" s="509">
        <f>SUM(IF(((1-(G18/(IF(ISBLANK(D8),B8,(IF(D8=0,9.99999999999999E+29,D8))))))*SUM(H4:H7))&lt;0,0,((1-(G18/(IF(ISBLANK(D8),B8,(IF(D8=0,9.99999999999999E+29,D8))))))*SUM(H4:H7))))</f>
        <v>7597.0537402292148</v>
      </c>
      <c r="I8" s="509">
        <f>SUM(IF(((1-(H18/(IF(ISBLANK(D8),B8,(IF(D8=0,9.99999999999999E+29,D8))))))*SUM(I4:I7))&lt;0,0,((1-(H18/(IF(ISBLANK(D8),B8,(IF(D8=0,9.99999999999999E+29,D8))))))*SUM(I4:I7))))</f>
        <v>9628.4789792002321</v>
      </c>
      <c r="J8" s="510">
        <f t="shared" ref="J8" si="48">SUM(F8:I8)*3</f>
        <v>63672.107762866435</v>
      </c>
      <c r="K8" s="509">
        <f>SUM(IF(((1-(I18/(IF(ISBLANK(E8),C8,(IF(E8=0,9.99999999999999E+29,E8))))))*SUM(K4:K7))&lt;0,0,((1-(I18/(IF(ISBLANK(E8),C8,(IF(E8=0,9.99999999999999E+29,E8))))))*SUM(K4:K7))))</f>
        <v>14940.528108890967</v>
      </c>
      <c r="L8" s="509">
        <f>SUM(IF(((1-(K18/(IF(ISBLANK(E8),C8,(IF(E8=0,9.99999999999999E+29,E8))))))*SUM(L4:L7))&lt;0,0,((1-(K18/(IF(ISBLANK(E8),C8,(IF(E8=0,9.99999999999999E+29,E8))))))*SUM(L4:L7))))</f>
        <v>28169.997376600404</v>
      </c>
      <c r="M8" s="509">
        <f>SUM(IF(((1-(L18/(IF(ISBLANK(E8),C8,(IF(E8=0,9.99999999999999E+29,E8))))))*SUM(M4:M7))&lt;0,0,((1-(L18/(IF(ISBLANK(E8),C8,(IF(E8=0,9.99999999999999E+29,E8))))))*SUM(M4:M7))))</f>
        <v>56981.839465635654</v>
      </c>
      <c r="N8" s="509">
        <f>SUM(IF(((1-(M18/(IF(ISBLANK(E8),C8,(IF(E8=0,9.99999999999999E+29,E8))))))*SUM(N4:N7))&lt;0,0,((1-(M18/(IF(ISBLANK(E8),C8,(IF(E8=0,9.99999999999999E+29,E8))))))*SUM(N4:N7))))</f>
        <v>123793.40137722755</v>
      </c>
      <c r="O8" s="510">
        <f t="shared" ref="O8" si="49">SUM(K8:N8)*3</f>
        <v>671657.2989850638</v>
      </c>
      <c r="P8" s="509">
        <f>SUM(IF(((1-(N18/(IF(ISBLANK(E8),C8,(IF(E8=0,9.99999999999999E+29,E8))))))*SUM(P4:P7))&lt;0,0,((1-(N18/(IF(ISBLANK(E8),C8,(IF(E8=0,9.99999999999999E+29,E8))))))*SUM(P4:P7))))</f>
        <v>270114.66660215327</v>
      </c>
      <c r="Q8" s="509">
        <f>SUM(IF(((1-(P18/(IF(ISBLANK(E8),C8,(IF(E8=0,9.99999999999999E+29,E8))))))*SUM(Q4:Q7))&lt;0,0,((1-(P18/(IF(ISBLANK(E8),C8,(IF(E8=0,9.99999999999999E+29,E8))))))*SUM(Q4:Q7))))</f>
        <v>589764.34302434209</v>
      </c>
      <c r="R8" s="509">
        <f>SUM(IF(((1-(Q18/(IF(ISBLANK(E8),C8,(IF(E8=0,9.99999999999999E+29,E8))))))*SUM(R4:R7))&lt;0,0,((1-(Q18/(IF(ISBLANK(E8),C8,(IF(E8=0,9.99999999999999E+29,E8))))))*SUM(R4:R7))))</f>
        <v>1322697.6724474386</v>
      </c>
      <c r="S8" s="509">
        <f>SUM(IF(((1-(R18/(IF(ISBLANK(E8),C8,(IF(E8=0,9.99999999999999E+29,E8))))))*SUM(S4:S7))&lt;0,0,((1-(R18/(IF(ISBLANK(E8),C8,(IF(E8=0,9.99999999999999E+29,E8))))))*SUM(S4:S7))))</f>
        <v>2893743.0806797328</v>
      </c>
      <c r="T8" s="511">
        <f t="shared" ref="T8" si="50">SUM(P8:S8)*3</f>
        <v>15228959.288261002</v>
      </c>
      <c r="U8" s="562"/>
      <c r="V8" s="638">
        <f>SUM(IF(((1-(T18/(IF(ISBLANK(E8),C8,(IF(E8=0,9.99999999999999E+29,E8))))))*SUM(V4:V7))&lt;0,0,((1-(T18/(IF(ISBLANK(E8),C8,(IF(E8=0,9.99999999999999E+29,E8))))))*SUM(V4:V7))))</f>
        <v>22215541.053078998</v>
      </c>
      <c r="W8" s="510">
        <f>SUM(IF(((1-(V18/(IF(ISBLANK(E8),C8,(IF(E8=0,9.99999999999999E+29,E8))))))*SUM(W4:W7))&lt;0,0,((1-(V18/(IF(ISBLANK(E8),C8,(IF(E8=0,9.99999999999999E+29,E8))))))*SUM(W4:W7))))</f>
        <v>47346364.630208887</v>
      </c>
      <c r="X8" s="639">
        <f>SUM(IF(((1-(W18/(IF(ISBLANK(E8),C8,(IF(E8=0,9.99999999999999E+29,E8))))))*SUM(X4:X7))&lt;0,0,((1-(W18/(IF(ISBLANK(E8),C8,(IF(E8=0,9.99999999999999E+29,E8))))))*SUM(X4:X7))))</f>
        <v>44449653.028440326</v>
      </c>
      <c r="Y8" s="562"/>
      <c r="Z8" s="569">
        <f>SUM(Z4:Z7)</f>
        <v>2300</v>
      </c>
      <c r="AA8" s="607"/>
      <c r="AB8" s="508">
        <f t="shared" si="0"/>
        <v>1699.49</v>
      </c>
      <c r="AC8" s="509">
        <f t="shared" si="1"/>
        <v>1699.49</v>
      </c>
      <c r="AD8" s="509">
        <f t="shared" si="2"/>
        <v>1699.49</v>
      </c>
      <c r="AE8" s="509">
        <f t="shared" si="36"/>
        <v>5098.47</v>
      </c>
      <c r="AF8" s="133"/>
      <c r="AG8" s="508">
        <f t="shared" si="3"/>
        <v>2299.0132015260306</v>
      </c>
      <c r="AH8" s="509">
        <f t="shared" si="4"/>
        <v>2299.0132015260306</v>
      </c>
      <c r="AI8" s="509">
        <f t="shared" si="5"/>
        <v>2299.0132015260306</v>
      </c>
      <c r="AJ8" s="509">
        <f t="shared" si="37"/>
        <v>6897.0396045780917</v>
      </c>
      <c r="AK8" s="133"/>
      <c r="AL8" s="508">
        <f t="shared" si="6"/>
        <v>7597.0537402292148</v>
      </c>
      <c r="AM8" s="509">
        <f t="shared" si="7"/>
        <v>7597.0537402292148</v>
      </c>
      <c r="AN8" s="509">
        <f t="shared" si="8"/>
        <v>7597.0537402292148</v>
      </c>
      <c r="AO8" s="509">
        <f t="shared" si="38"/>
        <v>22791.161220687645</v>
      </c>
      <c r="AP8" s="133"/>
      <c r="AQ8" s="508">
        <f t="shared" si="9"/>
        <v>9628.4789792002321</v>
      </c>
      <c r="AR8" s="509">
        <f t="shared" si="10"/>
        <v>9628.4789792002321</v>
      </c>
      <c r="AS8" s="509">
        <f t="shared" si="11"/>
        <v>9628.4789792002321</v>
      </c>
      <c r="AT8" s="509">
        <f t="shared" si="39"/>
        <v>28885.436937600694</v>
      </c>
      <c r="AU8" s="133"/>
      <c r="AV8" s="607"/>
      <c r="AW8" s="508">
        <f t="shared" si="12"/>
        <v>14940.528108890967</v>
      </c>
      <c r="AX8" s="509">
        <f t="shared" si="13"/>
        <v>14940.528108890967</v>
      </c>
      <c r="AY8" s="509">
        <f t="shared" si="14"/>
        <v>14940.528108890967</v>
      </c>
      <c r="AZ8" s="509">
        <f t="shared" si="40"/>
        <v>44821.584326672899</v>
      </c>
      <c r="BA8" s="133"/>
      <c r="BB8" s="508">
        <f t="shared" si="15"/>
        <v>28169.997376600404</v>
      </c>
      <c r="BC8" s="509">
        <f t="shared" si="16"/>
        <v>28169.997376600404</v>
      </c>
      <c r="BD8" s="509">
        <f t="shared" si="17"/>
        <v>28169.997376600404</v>
      </c>
      <c r="BE8" s="509">
        <f t="shared" si="41"/>
        <v>84509.99212980122</v>
      </c>
      <c r="BF8" s="133"/>
      <c r="BG8" s="508">
        <f t="shared" si="18"/>
        <v>56981.839465635654</v>
      </c>
      <c r="BH8" s="509">
        <f t="shared" si="19"/>
        <v>56981.839465635654</v>
      </c>
      <c r="BI8" s="509">
        <f t="shared" si="20"/>
        <v>56981.839465635654</v>
      </c>
      <c r="BJ8" s="509">
        <f t="shared" si="42"/>
        <v>170945.51839690696</v>
      </c>
      <c r="BK8" s="133"/>
      <c r="BL8" s="508">
        <f t="shared" si="21"/>
        <v>123793.40137722755</v>
      </c>
      <c r="BM8" s="509">
        <f t="shared" si="22"/>
        <v>123793.40137722755</v>
      </c>
      <c r="BN8" s="509">
        <f t="shared" si="23"/>
        <v>123793.40137722755</v>
      </c>
      <c r="BO8" s="509">
        <f t="shared" si="43"/>
        <v>371380.20413168264</v>
      </c>
      <c r="BP8" s="133"/>
      <c r="BQ8" s="562"/>
      <c r="BR8" s="508">
        <f t="shared" si="24"/>
        <v>270114.66660215327</v>
      </c>
      <c r="BS8" s="509">
        <f t="shared" si="25"/>
        <v>270114.66660215327</v>
      </c>
      <c r="BT8" s="509">
        <f t="shared" si="26"/>
        <v>270114.66660215327</v>
      </c>
      <c r="BU8" s="509">
        <f t="shared" si="44"/>
        <v>810343.99980645976</v>
      </c>
      <c r="BV8" s="133"/>
      <c r="BW8" s="508">
        <f t="shared" si="27"/>
        <v>589764.34302434209</v>
      </c>
      <c r="BX8" s="509">
        <f t="shared" si="28"/>
        <v>589764.34302434209</v>
      </c>
      <c r="BY8" s="509">
        <f t="shared" si="29"/>
        <v>589764.34302434209</v>
      </c>
      <c r="BZ8" s="509">
        <f t="shared" si="45"/>
        <v>1769293.0290730263</v>
      </c>
      <c r="CA8" s="133"/>
      <c r="CB8" s="508">
        <f t="shared" si="30"/>
        <v>1322697.6724474386</v>
      </c>
      <c r="CC8" s="509">
        <f t="shared" si="31"/>
        <v>1322697.6724474386</v>
      </c>
      <c r="CD8" s="509">
        <f t="shared" si="32"/>
        <v>1322697.6724474386</v>
      </c>
      <c r="CE8" s="509">
        <f>SUM(CB8:CD8)</f>
        <v>3968093.017342316</v>
      </c>
      <c r="CF8" s="133"/>
      <c r="CG8" s="508">
        <f t="shared" si="33"/>
        <v>2893743.0806797328</v>
      </c>
      <c r="CH8" s="509">
        <f t="shared" si="34"/>
        <v>2893743.0806797328</v>
      </c>
      <c r="CI8" s="509">
        <f t="shared" si="35"/>
        <v>2893743.0806797328</v>
      </c>
      <c r="CJ8" s="509">
        <f t="shared" si="47"/>
        <v>8681229.2420391981</v>
      </c>
      <c r="CK8" s="133"/>
      <c r="CL8" s="134"/>
    </row>
    <row r="9" spans="1:179" s="144" customFormat="1" ht="9.75" customHeight="1" x14ac:dyDescent="0.15">
      <c r="A9" s="470" t="s">
        <v>135</v>
      </c>
      <c r="B9" s="288">
        <v>7.0000000000000007E-2</v>
      </c>
      <c r="C9" s="136">
        <v>-2E-3</v>
      </c>
      <c r="D9" s="625"/>
      <c r="E9" s="289"/>
      <c r="F9" s="137">
        <v>0.01</v>
      </c>
      <c r="G9" s="138">
        <v>0.03</v>
      </c>
      <c r="H9" s="483">
        <f>SUM(IF((0*(IF(ISBLANK(E9),C9,E9)))+(IF(ISBLANK(D9),B9,D9)) &lt; 0, 0, (0*(IF(ISBLANK(E9),C9,E9)))+(IF(ISBLANK(D9),B9,D9))))</f>
        <v>7.0000000000000007E-2</v>
      </c>
      <c r="I9" s="483">
        <f>SUM(IF((1*(IF(ISBLANK(E9),C9,E9)))+(IF(ISBLANK(D9),B9,D9)) &lt; 0, 0, (1*(IF(ISBLANK(E9),C9,E9)))+(IF(ISBLANK(D9),B9,D9))))</f>
        <v>6.8000000000000005E-2</v>
      </c>
      <c r="J9" s="139">
        <f>SUM(((1+F9)*(1+F9)*(1+F9)*(1+G9)*(1+G9)*(1+G9)*(1+H9)*(1+H9)*(1+H9)*(1+I9)*(1+I9)*(1+I9))-1)</f>
        <v>0.68012226292809275</v>
      </c>
      <c r="K9" s="483">
        <f>SUM(IF((2*(IF(ISBLANK(E9),C9,E9)))+(IF(ISBLANK(D9),B9,D9)) &lt; 0, 0, (2*(IF(ISBLANK(E9),C9,E9)))+(IF(ISBLANK(D9),B9,D9))))</f>
        <v>6.6000000000000003E-2</v>
      </c>
      <c r="L9" s="483">
        <f>SUM(IF((3*(IF(ISBLANK(E9),C9,E9)))+(IF(ISBLANK(D9),B9,D9)) &lt; 0, 0, (3*(IF(ISBLANK(E9),C9,E9)))+(IF(ISBLANK(D9),B9,D9))))</f>
        <v>6.4000000000000001E-2</v>
      </c>
      <c r="M9" s="483">
        <f>SUM(IF((4*(IF(ISBLANK(E9),C9,E9)))+(IF(ISBLANK(D9),B9,D9)) &lt; 0, 0, (4*(IF(ISBLANK(E9),C9,E9)))+(IF(ISBLANK(D9),B9,D9))))</f>
        <v>6.2000000000000006E-2</v>
      </c>
      <c r="N9" s="483">
        <f>SUM(IF((5*(IF(ISBLANK(E9),C9,E9)))+(IF(ISBLANK(D9),B9,D9)) &lt; 0, 0, (5*(IF(ISBLANK(E9),C9,E9)))+(IF(ISBLANK(D9),B9,D9))))</f>
        <v>6.0000000000000005E-2</v>
      </c>
      <c r="O9" s="139">
        <f>SUM(((1+K9)*(1+K9)*(1+K9)*(1+L9)*(1+L9)*(1+L9)*(1+M9)*(1+M9)*(1+M9)*(1+N9)*(1+N9)*(1+N9))-1)</f>
        <v>1.0815538182270799</v>
      </c>
      <c r="P9" s="483">
        <f>SUM(IF((6*(IF(ISBLANK(E9),C9,E9)))+(IF(ISBLANK(D9),B9,D9)) &lt; 0, 0, (6*(IF(ISBLANK(E9),C9,E9)))+(IF(ISBLANK(D9),B9,D9))))</f>
        <v>5.800000000000001E-2</v>
      </c>
      <c r="Q9" s="483">
        <f>SUM(IF((7*(IF(ISBLANK(E9),C9,E9)))+(IF(ISBLANK(D9),B9,D9)) &lt; 0, 0, (7*(IF(ISBLANK(E9),C9,E9)))+(IF(ISBLANK(D9),B9,D9))))</f>
        <v>5.6000000000000008E-2</v>
      </c>
      <c r="R9" s="483">
        <f>SUM(IF((8*(IF(ISBLANK(E9),C9,E9)))+(IF(ISBLANK(D9),B9,D9)) &lt; 0, 0, (8*(IF(ISBLANK(E9),C9,E9)))+(IF(ISBLANK(D9),B9,D9))))</f>
        <v>5.4000000000000006E-2</v>
      </c>
      <c r="S9" s="483">
        <f>SUM(IF((9*(IF(ISBLANK(E9),C9,E9)))+(IF(ISBLANK(D9),B9,D9)) &lt; 0, 0, (9*(IF(ISBLANK(E9),C9,E9)))+(IF(ISBLANK(D9),B9,D9))))</f>
        <v>5.2000000000000005E-2</v>
      </c>
      <c r="T9" s="136">
        <f>SUM(((1+P9)*(1+P9)*(1+P9)*(1+Q9)*(1+Q9)*(1+Q9)*(1+R9)*(1+R9)*(1+R9)*(1+S9)*(1+S9)*(1+S9))-1)</f>
        <v>0.90115624192709909</v>
      </c>
      <c r="U9" s="290"/>
      <c r="V9" s="141">
        <f>SUM(IF((12*(IF(ISBLANK(E9),C9,E9)))+(IF(ISBLANK(D9),B9,D9)) &lt; 0, 0, (12*(IF(ISBLANK(E9),C9,E9)))+(IF(ISBLANK(D9),B9,D9))))*12</f>
        <v>0.55200000000000005</v>
      </c>
      <c r="W9" s="139">
        <f>SUM(IF((15*(IF(ISBLANK(E9),C9,E9)))+(IF(ISBLANK(D9),B9,D9)) &lt; 0, 0, (15*(IF(ISBLANK(E9),C9,E9)))+(IF(ISBLANK(D9),B9,D9))))*12</f>
        <v>0.48000000000000009</v>
      </c>
      <c r="X9" s="140">
        <f>SUM(IF((18*(IF(ISBLANK(E9),C9,E9)))+(IF(ISBLANK(D9),B9,D9)) &lt; 0, 0, (18*(IF(ISBLANK(E9),C9,E9)))+(IF(ISBLANK(D9),B9,D9))))*12</f>
        <v>0.40800000000000003</v>
      </c>
      <c r="Y9" s="142"/>
      <c r="Z9" s="570">
        <v>0</v>
      </c>
      <c r="AA9" s="608"/>
      <c r="AB9" s="588">
        <f t="shared" si="0"/>
        <v>0.01</v>
      </c>
      <c r="AC9" s="483">
        <f t="shared" si="1"/>
        <v>0.01</v>
      </c>
      <c r="AD9" s="483">
        <f t="shared" si="2"/>
        <v>0.01</v>
      </c>
      <c r="AE9" s="483">
        <f t="shared" si="36"/>
        <v>0.03</v>
      </c>
      <c r="AF9" s="143"/>
      <c r="AG9" s="588">
        <f t="shared" si="3"/>
        <v>0.03</v>
      </c>
      <c r="AH9" s="483">
        <f t="shared" si="4"/>
        <v>0.03</v>
      </c>
      <c r="AI9" s="483">
        <f t="shared" si="5"/>
        <v>0.03</v>
      </c>
      <c r="AJ9" s="483">
        <f t="shared" si="37"/>
        <v>0.09</v>
      </c>
      <c r="AK9" s="143"/>
      <c r="AL9" s="588">
        <f t="shared" si="6"/>
        <v>7.0000000000000007E-2</v>
      </c>
      <c r="AM9" s="483">
        <f t="shared" si="7"/>
        <v>7.0000000000000007E-2</v>
      </c>
      <c r="AN9" s="483">
        <f t="shared" si="8"/>
        <v>7.0000000000000007E-2</v>
      </c>
      <c r="AO9" s="483">
        <f t="shared" si="38"/>
        <v>0.21000000000000002</v>
      </c>
      <c r="AP9" s="143"/>
      <c r="AQ9" s="588">
        <f t="shared" si="9"/>
        <v>6.8000000000000005E-2</v>
      </c>
      <c r="AR9" s="483">
        <f t="shared" si="10"/>
        <v>6.8000000000000005E-2</v>
      </c>
      <c r="AS9" s="483">
        <f t="shared" si="11"/>
        <v>6.8000000000000005E-2</v>
      </c>
      <c r="AT9" s="483">
        <f t="shared" si="39"/>
        <v>0.20400000000000001</v>
      </c>
      <c r="AU9" s="143"/>
      <c r="AV9" s="608"/>
      <c r="AW9" s="588">
        <f t="shared" si="12"/>
        <v>6.6000000000000003E-2</v>
      </c>
      <c r="AX9" s="483">
        <f t="shared" si="13"/>
        <v>6.6000000000000003E-2</v>
      </c>
      <c r="AY9" s="483">
        <f t="shared" si="14"/>
        <v>6.6000000000000003E-2</v>
      </c>
      <c r="AZ9" s="483">
        <f t="shared" si="40"/>
        <v>0.19800000000000001</v>
      </c>
      <c r="BA9" s="143"/>
      <c r="BB9" s="588">
        <f t="shared" si="15"/>
        <v>6.4000000000000001E-2</v>
      </c>
      <c r="BC9" s="483">
        <f t="shared" si="16"/>
        <v>6.4000000000000001E-2</v>
      </c>
      <c r="BD9" s="483">
        <f t="shared" si="17"/>
        <v>6.4000000000000001E-2</v>
      </c>
      <c r="BE9" s="483">
        <f t="shared" si="41"/>
        <v>0.192</v>
      </c>
      <c r="BF9" s="143"/>
      <c r="BG9" s="588">
        <f t="shared" si="18"/>
        <v>6.2000000000000006E-2</v>
      </c>
      <c r="BH9" s="483">
        <f t="shared" si="19"/>
        <v>6.2000000000000006E-2</v>
      </c>
      <c r="BI9" s="483">
        <f t="shared" si="20"/>
        <v>6.2000000000000006E-2</v>
      </c>
      <c r="BJ9" s="483">
        <f t="shared" si="42"/>
        <v>0.18600000000000003</v>
      </c>
      <c r="BK9" s="143"/>
      <c r="BL9" s="588">
        <f t="shared" si="21"/>
        <v>6.0000000000000005E-2</v>
      </c>
      <c r="BM9" s="483">
        <f t="shared" si="22"/>
        <v>6.0000000000000005E-2</v>
      </c>
      <c r="BN9" s="483">
        <f t="shared" si="23"/>
        <v>6.0000000000000005E-2</v>
      </c>
      <c r="BO9" s="483">
        <f t="shared" ref="BO9:BO15" si="51">SUM((BL9+BM9+BN9))</f>
        <v>0.18000000000000002</v>
      </c>
      <c r="BP9" s="143"/>
      <c r="BQ9" s="290"/>
      <c r="BR9" s="588">
        <f t="shared" si="24"/>
        <v>5.800000000000001E-2</v>
      </c>
      <c r="BS9" s="483">
        <f t="shared" si="25"/>
        <v>5.800000000000001E-2</v>
      </c>
      <c r="BT9" s="483">
        <f t="shared" si="26"/>
        <v>5.800000000000001E-2</v>
      </c>
      <c r="BU9" s="483">
        <f t="shared" ref="BU9:BU15" si="52">SUM((BR9+BS9+BT9))</f>
        <v>0.17400000000000004</v>
      </c>
      <c r="BV9" s="143"/>
      <c r="BW9" s="588">
        <f t="shared" si="27"/>
        <v>5.6000000000000008E-2</v>
      </c>
      <c r="BX9" s="483">
        <f t="shared" si="28"/>
        <v>5.6000000000000008E-2</v>
      </c>
      <c r="BY9" s="483">
        <f t="shared" si="29"/>
        <v>5.6000000000000008E-2</v>
      </c>
      <c r="BZ9" s="483">
        <f t="shared" ref="BZ9:BZ15" si="53">SUM((BW9+BX9+BY9))</f>
        <v>0.16800000000000004</v>
      </c>
      <c r="CA9" s="143"/>
      <c r="CB9" s="588">
        <f t="shared" si="30"/>
        <v>5.4000000000000006E-2</v>
      </c>
      <c r="CC9" s="483">
        <f t="shared" si="31"/>
        <v>5.4000000000000006E-2</v>
      </c>
      <c r="CD9" s="483">
        <f t="shared" si="32"/>
        <v>5.4000000000000006E-2</v>
      </c>
      <c r="CE9" s="483">
        <f t="shared" ref="CE9:CE16" si="54">SUM((CB9+CC9+CD9))</f>
        <v>0.16200000000000003</v>
      </c>
      <c r="CF9" s="143"/>
      <c r="CG9" s="588">
        <f t="shared" si="33"/>
        <v>5.2000000000000005E-2</v>
      </c>
      <c r="CH9" s="483">
        <f t="shared" si="34"/>
        <v>5.2000000000000005E-2</v>
      </c>
      <c r="CI9" s="483">
        <f t="shared" si="35"/>
        <v>5.2000000000000005E-2</v>
      </c>
      <c r="CJ9" s="483">
        <f t="shared" ref="CJ9:CJ16" si="55">SUM((CG9+CH9+CI9))</f>
        <v>0.15600000000000003</v>
      </c>
      <c r="CK9" s="143"/>
    </row>
    <row r="10" spans="1:179" s="144" customFormat="1" ht="9.75" customHeight="1" x14ac:dyDescent="0.15">
      <c r="A10" s="472" t="s">
        <v>136</v>
      </c>
      <c r="B10" s="167">
        <v>7.4999999999999997E-2</v>
      </c>
      <c r="C10" s="285">
        <v>-4.0000000000000001E-3</v>
      </c>
      <c r="D10" s="626"/>
      <c r="E10" s="292"/>
      <c r="F10" s="146">
        <v>0</v>
      </c>
      <c r="G10" s="147">
        <v>0.02</v>
      </c>
      <c r="H10" s="484">
        <f t="shared" ref="H10:H13" si="56">SUM(IF((0*(IF(ISBLANK(E10),C10,E10)))+(IF(ISBLANK(D10),B10,D10)) &lt; 0, 0, (0*(IF(ISBLANK(E10),C10,E10)))+(IF(ISBLANK(D10),B10,D10))))</f>
        <v>7.4999999999999997E-2</v>
      </c>
      <c r="I10" s="484">
        <f t="shared" ref="I10:I13" si="57">SUM(IF((1*(IF(ISBLANK(E10),C10,E10)))+(IF(ISBLANK(D10),B10,D10)) &lt; 0, 0, (1*(IF(ISBLANK(E10),C10,E10)))+(IF(ISBLANK(D10),B10,D10))))</f>
        <v>7.0999999999999994E-2</v>
      </c>
      <c r="J10" s="148">
        <f t="shared" ref="J10:J13" si="58">SUM(((1+F10)*(1+F10)*(1+F10)*(1+G10)*(1+G10)*(1+G10)*(1+H10)*(1+H10)*(1+H10)*(1+I10)*(1+I10)*(1+I10))-1)</f>
        <v>0.61954985123645234</v>
      </c>
      <c r="K10" s="484">
        <f t="shared" ref="K10:K13" si="59">SUM(IF((2*(IF(ISBLANK(E10),C10,E10)))+(IF(ISBLANK(D10),B10,D10)) &lt; 0, 0, (2*(IF(ISBLANK(E10),C10,E10)))+(IF(ISBLANK(D10),B10,D10))))</f>
        <v>6.7000000000000004E-2</v>
      </c>
      <c r="L10" s="484">
        <f t="shared" ref="L10:L13" si="60">SUM(IF((3*(IF(ISBLANK(E10),C10,E10)))+(IF(ISBLANK(D10),B10,D10)) &lt; 0, 0, (3*(IF(ISBLANK(E10),C10,E10)))+(IF(ISBLANK(D10),B10,D10))))</f>
        <v>6.3E-2</v>
      </c>
      <c r="M10" s="484">
        <f t="shared" ref="M10:M13" si="61">SUM(IF((4*(IF(ISBLANK(E10),C10,E10)))+(IF(ISBLANK(D10),B10,D10)) &lt; 0, 0, (4*(IF(ISBLANK(E10),C10,E10)))+(IF(ISBLANK(D10),B10,D10))))</f>
        <v>5.8999999999999997E-2</v>
      </c>
      <c r="N10" s="484">
        <f t="shared" ref="N10:N13" si="62">SUM(IF((5*(IF(ISBLANK(E10),C10,E10)))+(IF(ISBLANK(D10),B10,D10)) &lt; 0, 0, (5*(IF(ISBLANK(E10),C10,E10)))+(IF(ISBLANK(D10),B10,D10))))</f>
        <v>5.4999999999999993E-2</v>
      </c>
      <c r="O10" s="148">
        <f t="shared" ref="O10:O15" si="63">SUM(((1+K10)*(1+K10)*(1+K10)*(1+L10)*(1+L10)*(1+L10)*(1+M10)*(1+M10)*(1+M10)*(1+N10)*(1+N10)*(1+N10))-1)</f>
        <v>1.0348776936342774</v>
      </c>
      <c r="P10" s="484">
        <f t="shared" ref="P10:P13" si="64">SUM(IF((6*(IF(ISBLANK(E10),C10,E10)))+(IF(ISBLANK(D10),B10,D10)) &lt; 0, 0, (6*(IF(ISBLANK(E10),C10,E10)))+(IF(ISBLANK(D10),B10,D10))))</f>
        <v>5.0999999999999997E-2</v>
      </c>
      <c r="Q10" s="484">
        <f t="shared" ref="Q10:Q13" si="65">SUM(IF((7*(IF(ISBLANK(E10),C10,E10)))+(IF(ISBLANK(D10),B10,D10)) &lt; 0, 0, (7*(IF(ISBLANK(E10),C10,E10)))+(IF(ISBLANK(D10),B10,D10))))</f>
        <v>4.7E-2</v>
      </c>
      <c r="R10" s="484">
        <f t="shared" ref="R10:R13" si="66">SUM(IF((8*(IF(ISBLANK(E10),C10,E10)))+(IF(ISBLANK(D10),B10,D10)) &lt; 0, 0, (8*(IF(ISBLANK(E10),C10,E10)))+(IF(ISBLANK(D10),B10,D10))))</f>
        <v>4.2999999999999997E-2</v>
      </c>
      <c r="S10" s="484">
        <f t="shared" ref="S10:S13" si="67">SUM(IF((9*(IF(ISBLANK(E10),C10,E10)))+(IF(ISBLANK(D10),B10,D10)) &lt; 0, 0, (9*(IF(ISBLANK(E10),C10,E10)))+(IF(ISBLANK(D10),B10,D10))))</f>
        <v>3.8999999999999993E-2</v>
      </c>
      <c r="T10" s="126">
        <f t="shared" ref="T10:T15" si="68">SUM(((1+P10)*(1+P10)*(1+P10)*(1+Q10)*(1+Q10)*(1+Q10)*(1+R10)*(1+R10)*(1+R10)*(1+S10)*(1+S10)*(1+S10))-1)</f>
        <v>0.69569508387756018</v>
      </c>
      <c r="U10" s="293"/>
      <c r="V10" s="150">
        <f>SUM(IF((12*(IF(ISBLANK(E10),C10,E10)))+(IF(ISBLANK(D10),B10,D10)) &lt; 0, 0, (12*(IF(ISBLANK(E10),C10,E10)))+(IF(ISBLANK(D10),B10,D10))))*12</f>
        <v>0.32399999999999995</v>
      </c>
      <c r="W10" s="148">
        <f>SUM(IF((15*(IF(ISBLANK(E10),C10,E10)))+(IF(ISBLANK(D10),B10,D10)) &lt; 0, 0, (15*(IF(ISBLANK(E10),C10,E10)))+(IF(ISBLANK(D10),B10,D10))))*12</f>
        <v>0.18</v>
      </c>
      <c r="X10" s="149">
        <f>SUM(IF((18*(IF(ISBLANK(E10),C10,E10)))+(IF(ISBLANK(D10),B10,D10)) &lt; 0, 0, (18*(IF(ISBLANK(E10),C10,E10)))+(IF(ISBLANK(D10),B10,D10))))*12</f>
        <v>3.5999999999999865E-2</v>
      </c>
      <c r="Y10" s="151"/>
      <c r="Z10" s="571">
        <v>0</v>
      </c>
      <c r="AA10" s="609"/>
      <c r="AB10" s="589">
        <f t="shared" si="0"/>
        <v>0</v>
      </c>
      <c r="AC10" s="484">
        <f t="shared" si="1"/>
        <v>0</v>
      </c>
      <c r="AD10" s="484">
        <f t="shared" si="2"/>
        <v>0</v>
      </c>
      <c r="AE10" s="484">
        <f t="shared" si="36"/>
        <v>0</v>
      </c>
      <c r="AF10" s="152"/>
      <c r="AG10" s="589">
        <f t="shared" si="3"/>
        <v>0.02</v>
      </c>
      <c r="AH10" s="484">
        <f t="shared" si="4"/>
        <v>0.02</v>
      </c>
      <c r="AI10" s="484">
        <f t="shared" si="5"/>
        <v>0.02</v>
      </c>
      <c r="AJ10" s="484">
        <f t="shared" si="37"/>
        <v>0.06</v>
      </c>
      <c r="AK10" s="152"/>
      <c r="AL10" s="589">
        <f t="shared" si="6"/>
        <v>7.4999999999999997E-2</v>
      </c>
      <c r="AM10" s="484">
        <f t="shared" si="7"/>
        <v>7.4999999999999997E-2</v>
      </c>
      <c r="AN10" s="484">
        <f t="shared" si="8"/>
        <v>7.4999999999999997E-2</v>
      </c>
      <c r="AO10" s="484">
        <f t="shared" si="38"/>
        <v>0.22499999999999998</v>
      </c>
      <c r="AP10" s="152"/>
      <c r="AQ10" s="589">
        <f t="shared" si="9"/>
        <v>7.0999999999999994E-2</v>
      </c>
      <c r="AR10" s="484">
        <f t="shared" si="10"/>
        <v>7.0999999999999994E-2</v>
      </c>
      <c r="AS10" s="484">
        <f t="shared" si="11"/>
        <v>7.0999999999999994E-2</v>
      </c>
      <c r="AT10" s="484">
        <f t="shared" si="39"/>
        <v>0.21299999999999997</v>
      </c>
      <c r="AU10" s="152"/>
      <c r="AV10" s="609"/>
      <c r="AW10" s="589">
        <f t="shared" si="12"/>
        <v>6.7000000000000004E-2</v>
      </c>
      <c r="AX10" s="484">
        <f t="shared" si="13"/>
        <v>6.7000000000000004E-2</v>
      </c>
      <c r="AY10" s="484">
        <f t="shared" si="14"/>
        <v>6.7000000000000004E-2</v>
      </c>
      <c r="AZ10" s="484">
        <f t="shared" si="40"/>
        <v>0.20100000000000001</v>
      </c>
      <c r="BA10" s="152"/>
      <c r="BB10" s="589">
        <f t="shared" si="15"/>
        <v>6.3E-2</v>
      </c>
      <c r="BC10" s="484">
        <f t="shared" si="16"/>
        <v>6.3E-2</v>
      </c>
      <c r="BD10" s="484">
        <f t="shared" si="17"/>
        <v>6.3E-2</v>
      </c>
      <c r="BE10" s="484">
        <f t="shared" si="41"/>
        <v>0.189</v>
      </c>
      <c r="BF10" s="152"/>
      <c r="BG10" s="589">
        <f t="shared" si="18"/>
        <v>5.8999999999999997E-2</v>
      </c>
      <c r="BH10" s="484">
        <f t="shared" si="19"/>
        <v>5.8999999999999997E-2</v>
      </c>
      <c r="BI10" s="484">
        <f t="shared" si="20"/>
        <v>5.8999999999999997E-2</v>
      </c>
      <c r="BJ10" s="484">
        <f t="shared" si="42"/>
        <v>0.17699999999999999</v>
      </c>
      <c r="BK10" s="152"/>
      <c r="BL10" s="589">
        <f t="shared" si="21"/>
        <v>5.4999999999999993E-2</v>
      </c>
      <c r="BM10" s="484">
        <f t="shared" si="22"/>
        <v>5.4999999999999993E-2</v>
      </c>
      <c r="BN10" s="484">
        <f t="shared" si="23"/>
        <v>5.4999999999999993E-2</v>
      </c>
      <c r="BO10" s="484">
        <f t="shared" si="51"/>
        <v>0.16499999999999998</v>
      </c>
      <c r="BP10" s="152"/>
      <c r="BQ10" s="293"/>
      <c r="BR10" s="589">
        <f t="shared" si="24"/>
        <v>5.0999999999999997E-2</v>
      </c>
      <c r="BS10" s="484">
        <f t="shared" si="25"/>
        <v>5.0999999999999997E-2</v>
      </c>
      <c r="BT10" s="484">
        <f t="shared" si="26"/>
        <v>5.0999999999999997E-2</v>
      </c>
      <c r="BU10" s="484">
        <f t="shared" si="52"/>
        <v>0.153</v>
      </c>
      <c r="BV10" s="152"/>
      <c r="BW10" s="589">
        <f t="shared" si="27"/>
        <v>4.7E-2</v>
      </c>
      <c r="BX10" s="484">
        <f t="shared" si="28"/>
        <v>4.7E-2</v>
      </c>
      <c r="BY10" s="484">
        <f t="shared" si="29"/>
        <v>4.7E-2</v>
      </c>
      <c r="BZ10" s="484">
        <f t="shared" si="53"/>
        <v>0.14100000000000001</v>
      </c>
      <c r="CA10" s="152"/>
      <c r="CB10" s="589">
        <f t="shared" si="30"/>
        <v>4.2999999999999997E-2</v>
      </c>
      <c r="CC10" s="484">
        <f t="shared" si="31"/>
        <v>4.2999999999999997E-2</v>
      </c>
      <c r="CD10" s="484">
        <f t="shared" si="32"/>
        <v>4.2999999999999997E-2</v>
      </c>
      <c r="CE10" s="484">
        <f t="shared" si="54"/>
        <v>0.129</v>
      </c>
      <c r="CF10" s="152"/>
      <c r="CG10" s="589">
        <f t="shared" si="33"/>
        <v>3.8999999999999993E-2</v>
      </c>
      <c r="CH10" s="484">
        <f t="shared" si="34"/>
        <v>3.8999999999999993E-2</v>
      </c>
      <c r="CI10" s="484">
        <f t="shared" si="35"/>
        <v>3.8999999999999993E-2</v>
      </c>
      <c r="CJ10" s="484">
        <f t="shared" si="55"/>
        <v>0.11699999999999998</v>
      </c>
      <c r="CK10" s="152"/>
    </row>
    <row r="11" spans="1:179" s="144" customFormat="1" ht="9.75" customHeight="1" x14ac:dyDescent="0.15">
      <c r="A11" s="472" t="s">
        <v>138</v>
      </c>
      <c r="B11" s="167">
        <v>7.4999999999999997E-2</v>
      </c>
      <c r="C11" s="126">
        <v>-2E-3</v>
      </c>
      <c r="D11" s="626"/>
      <c r="E11" s="292"/>
      <c r="F11" s="146">
        <v>0</v>
      </c>
      <c r="G11" s="147">
        <v>0.02</v>
      </c>
      <c r="H11" s="484">
        <f t="shared" si="56"/>
        <v>7.4999999999999997E-2</v>
      </c>
      <c r="I11" s="484">
        <f t="shared" si="57"/>
        <v>7.2999999999999995E-2</v>
      </c>
      <c r="J11" s="148">
        <f t="shared" si="58"/>
        <v>0.62863991343975489</v>
      </c>
      <c r="K11" s="484">
        <f t="shared" si="59"/>
        <v>7.0999999999999994E-2</v>
      </c>
      <c r="L11" s="484">
        <f t="shared" si="60"/>
        <v>6.8999999999999992E-2</v>
      </c>
      <c r="M11" s="484">
        <f t="shared" si="61"/>
        <v>6.7000000000000004E-2</v>
      </c>
      <c r="N11" s="484">
        <f t="shared" si="62"/>
        <v>6.5000000000000002E-2</v>
      </c>
      <c r="O11" s="148">
        <f t="shared" si="63"/>
        <v>1.2021333277993596</v>
      </c>
      <c r="P11" s="484">
        <f t="shared" si="64"/>
        <v>6.3E-2</v>
      </c>
      <c r="Q11" s="484">
        <f t="shared" si="65"/>
        <v>6.0999999999999999E-2</v>
      </c>
      <c r="R11" s="484">
        <f t="shared" si="66"/>
        <v>5.8999999999999997E-2</v>
      </c>
      <c r="S11" s="484">
        <f t="shared" si="67"/>
        <v>5.6999999999999995E-2</v>
      </c>
      <c r="T11" s="126">
        <f t="shared" si="68"/>
        <v>1.0121427469258388</v>
      </c>
      <c r="U11" s="293"/>
      <c r="V11" s="150">
        <f>SUM(IF((12*(IF(ISBLANK(E11),C11,E11)))+(IF(ISBLANK(D11),B11,D11)) &lt; 0, 0, (12*(IF(ISBLANK(E11),C11,E11)))+(IF(ISBLANK(D11),B11,D11))))*12</f>
        <v>0.61199999999999999</v>
      </c>
      <c r="W11" s="148">
        <f>SUM(IF((15*(IF(ISBLANK(E11),C11,E11)))+(IF(ISBLANK(D11),B11,D11)) &lt; 0, 0, (15*(IF(ISBLANK(E11),C11,E11)))+(IF(ISBLANK(D11),B11,D11))))*12</f>
        <v>0.54</v>
      </c>
      <c r="X11" s="149">
        <f>SUM(IF((18*(IF(ISBLANK(E11),C11,E11)))+(IF(ISBLANK(D11),B11,D11)) &lt; 0, 0, (18*(IF(ISBLANK(E11),C11,E11)))+(IF(ISBLANK(D11),B11,D11))))*12</f>
        <v>0.46799999999999992</v>
      </c>
      <c r="Y11" s="151"/>
      <c r="Z11" s="571">
        <v>0</v>
      </c>
      <c r="AA11" s="609"/>
      <c r="AB11" s="589">
        <f t="shared" si="0"/>
        <v>0</v>
      </c>
      <c r="AC11" s="484">
        <f t="shared" si="1"/>
        <v>0</v>
      </c>
      <c r="AD11" s="484">
        <f t="shared" si="2"/>
        <v>0</v>
      </c>
      <c r="AE11" s="484">
        <f t="shared" si="36"/>
        <v>0</v>
      </c>
      <c r="AF11" s="152"/>
      <c r="AG11" s="589">
        <f t="shared" si="3"/>
        <v>0.02</v>
      </c>
      <c r="AH11" s="484">
        <f t="shared" si="4"/>
        <v>0.02</v>
      </c>
      <c r="AI11" s="484">
        <f t="shared" si="5"/>
        <v>0.02</v>
      </c>
      <c r="AJ11" s="484">
        <f t="shared" si="37"/>
        <v>0.06</v>
      </c>
      <c r="AK11" s="152"/>
      <c r="AL11" s="589">
        <f t="shared" si="6"/>
        <v>7.4999999999999997E-2</v>
      </c>
      <c r="AM11" s="484">
        <f t="shared" si="7"/>
        <v>7.4999999999999997E-2</v>
      </c>
      <c r="AN11" s="484">
        <f t="shared" si="8"/>
        <v>7.4999999999999997E-2</v>
      </c>
      <c r="AO11" s="484">
        <f t="shared" si="38"/>
        <v>0.22499999999999998</v>
      </c>
      <c r="AP11" s="152"/>
      <c r="AQ11" s="589">
        <f t="shared" si="9"/>
        <v>7.2999999999999995E-2</v>
      </c>
      <c r="AR11" s="484">
        <f t="shared" si="10"/>
        <v>7.2999999999999995E-2</v>
      </c>
      <c r="AS11" s="484">
        <f t="shared" si="11"/>
        <v>7.2999999999999995E-2</v>
      </c>
      <c r="AT11" s="484">
        <f t="shared" si="39"/>
        <v>0.21899999999999997</v>
      </c>
      <c r="AU11" s="152"/>
      <c r="AV11" s="609"/>
      <c r="AW11" s="589">
        <f t="shared" si="12"/>
        <v>7.0999999999999994E-2</v>
      </c>
      <c r="AX11" s="484">
        <f t="shared" si="13"/>
        <v>7.0999999999999994E-2</v>
      </c>
      <c r="AY11" s="484">
        <f t="shared" si="14"/>
        <v>7.0999999999999994E-2</v>
      </c>
      <c r="AZ11" s="484">
        <f t="shared" si="40"/>
        <v>0.21299999999999997</v>
      </c>
      <c r="BA11" s="152"/>
      <c r="BB11" s="589">
        <f t="shared" si="15"/>
        <v>6.8999999999999992E-2</v>
      </c>
      <c r="BC11" s="484">
        <f t="shared" si="16"/>
        <v>6.8999999999999992E-2</v>
      </c>
      <c r="BD11" s="484">
        <f t="shared" si="17"/>
        <v>6.8999999999999992E-2</v>
      </c>
      <c r="BE11" s="484">
        <f t="shared" si="41"/>
        <v>0.20699999999999996</v>
      </c>
      <c r="BF11" s="152"/>
      <c r="BG11" s="589">
        <f t="shared" si="18"/>
        <v>6.7000000000000004E-2</v>
      </c>
      <c r="BH11" s="484">
        <f t="shared" si="19"/>
        <v>6.7000000000000004E-2</v>
      </c>
      <c r="BI11" s="484">
        <f t="shared" si="20"/>
        <v>6.7000000000000004E-2</v>
      </c>
      <c r="BJ11" s="484">
        <f t="shared" si="42"/>
        <v>0.20100000000000001</v>
      </c>
      <c r="BK11" s="152"/>
      <c r="BL11" s="589">
        <f t="shared" si="21"/>
        <v>6.5000000000000002E-2</v>
      </c>
      <c r="BM11" s="484">
        <f t="shared" si="22"/>
        <v>6.5000000000000002E-2</v>
      </c>
      <c r="BN11" s="484">
        <f t="shared" si="23"/>
        <v>6.5000000000000002E-2</v>
      </c>
      <c r="BO11" s="484">
        <f t="shared" si="51"/>
        <v>0.19500000000000001</v>
      </c>
      <c r="BP11" s="152"/>
      <c r="BQ11" s="293"/>
      <c r="BR11" s="589">
        <f t="shared" si="24"/>
        <v>6.3E-2</v>
      </c>
      <c r="BS11" s="484">
        <f t="shared" si="25"/>
        <v>6.3E-2</v>
      </c>
      <c r="BT11" s="484">
        <f t="shared" si="26"/>
        <v>6.3E-2</v>
      </c>
      <c r="BU11" s="484">
        <f t="shared" si="52"/>
        <v>0.189</v>
      </c>
      <c r="BV11" s="152"/>
      <c r="BW11" s="589">
        <f t="shared" si="27"/>
        <v>6.0999999999999999E-2</v>
      </c>
      <c r="BX11" s="484">
        <f t="shared" si="28"/>
        <v>6.0999999999999999E-2</v>
      </c>
      <c r="BY11" s="484">
        <f t="shared" si="29"/>
        <v>6.0999999999999999E-2</v>
      </c>
      <c r="BZ11" s="484">
        <f t="shared" si="53"/>
        <v>0.183</v>
      </c>
      <c r="CA11" s="152"/>
      <c r="CB11" s="589">
        <f t="shared" si="30"/>
        <v>5.8999999999999997E-2</v>
      </c>
      <c r="CC11" s="484">
        <f t="shared" si="31"/>
        <v>5.8999999999999997E-2</v>
      </c>
      <c r="CD11" s="484">
        <f t="shared" si="32"/>
        <v>5.8999999999999997E-2</v>
      </c>
      <c r="CE11" s="484">
        <f t="shared" si="54"/>
        <v>0.17699999999999999</v>
      </c>
      <c r="CF11" s="152"/>
      <c r="CG11" s="589">
        <f t="shared" si="33"/>
        <v>5.6999999999999995E-2</v>
      </c>
      <c r="CH11" s="484">
        <f t="shared" si="34"/>
        <v>5.6999999999999995E-2</v>
      </c>
      <c r="CI11" s="484">
        <f t="shared" si="35"/>
        <v>5.6999999999999995E-2</v>
      </c>
      <c r="CJ11" s="484">
        <f t="shared" si="55"/>
        <v>0.17099999999999999</v>
      </c>
      <c r="CK11" s="152"/>
    </row>
    <row r="12" spans="1:179" s="144" customFormat="1" ht="9.75" customHeight="1" x14ac:dyDescent="0.15">
      <c r="A12" s="472" t="s">
        <v>137</v>
      </c>
      <c r="B12" s="167">
        <v>7.4999999999999997E-2</v>
      </c>
      <c r="C12" s="285">
        <v>-0.01</v>
      </c>
      <c r="D12" s="291"/>
      <c r="E12" s="292"/>
      <c r="F12" s="146">
        <v>0</v>
      </c>
      <c r="G12" s="147">
        <v>0.05</v>
      </c>
      <c r="H12" s="484">
        <f t="shared" si="56"/>
        <v>7.4999999999999997E-2</v>
      </c>
      <c r="I12" s="484">
        <f t="shared" si="57"/>
        <v>6.5000000000000002E-2</v>
      </c>
      <c r="J12" s="148">
        <f t="shared" si="58"/>
        <v>0.73716917027690876</v>
      </c>
      <c r="K12" s="484">
        <f t="shared" si="59"/>
        <v>5.4999999999999993E-2</v>
      </c>
      <c r="L12" s="484">
        <f t="shared" si="60"/>
        <v>4.4999999999999998E-2</v>
      </c>
      <c r="M12" s="484">
        <f t="shared" si="61"/>
        <v>3.4999999999999996E-2</v>
      </c>
      <c r="N12" s="484">
        <f t="shared" si="62"/>
        <v>2.4999999999999994E-2</v>
      </c>
      <c r="O12" s="148">
        <f t="shared" si="63"/>
        <v>0.59992231502484472</v>
      </c>
      <c r="P12" s="484">
        <f t="shared" si="64"/>
        <v>1.4999999999999999E-2</v>
      </c>
      <c r="Q12" s="484">
        <f t="shared" si="65"/>
        <v>4.9999999999999906E-3</v>
      </c>
      <c r="R12" s="484">
        <f t="shared" si="66"/>
        <v>0</v>
      </c>
      <c r="S12" s="484">
        <f t="shared" si="67"/>
        <v>0</v>
      </c>
      <c r="T12" s="126">
        <f t="shared" si="68"/>
        <v>6.1442107212920982E-2</v>
      </c>
      <c r="U12" s="293"/>
      <c r="V12" s="150">
        <f>SUM(IF((12*(IF(ISBLANK(E12),C12,E12)))+(IF(ISBLANK(D12),B12,D12)) &lt; 0, 0, (12*(IF(ISBLANK(E12),C12,E12)))+(IF(ISBLANK(D12),B12,D12))))*12</f>
        <v>0</v>
      </c>
      <c r="W12" s="148">
        <f>SUM(IF((15*(IF(ISBLANK(E12),C12,E12)))+(IF(ISBLANK(D12),B12,D12)) &lt; 0, 0, (15*(IF(ISBLANK(E12),C12,E12)))+(IF(ISBLANK(D12),B12,D12))))*12</f>
        <v>0</v>
      </c>
      <c r="X12" s="149">
        <f>SUM(IF((18*(IF(ISBLANK(E12),C12,E12)))+(IF(ISBLANK(D12),B12,D12)) &lt; 0, 0, (18*(IF(ISBLANK(E12),C12,E12)))+(IF(ISBLANK(D12),B12,D12))))*12</f>
        <v>0</v>
      </c>
      <c r="Y12" s="151"/>
      <c r="Z12" s="571">
        <v>0</v>
      </c>
      <c r="AA12" s="609"/>
      <c r="AB12" s="589">
        <f t="shared" si="0"/>
        <v>0</v>
      </c>
      <c r="AC12" s="484">
        <f t="shared" si="1"/>
        <v>0</v>
      </c>
      <c r="AD12" s="484">
        <f t="shared" si="2"/>
        <v>0</v>
      </c>
      <c r="AE12" s="484">
        <f t="shared" si="36"/>
        <v>0</v>
      </c>
      <c r="AF12" s="152"/>
      <c r="AG12" s="589">
        <f t="shared" si="3"/>
        <v>0.05</v>
      </c>
      <c r="AH12" s="484">
        <f t="shared" si="4"/>
        <v>0.05</v>
      </c>
      <c r="AI12" s="484">
        <f t="shared" si="5"/>
        <v>0.05</v>
      </c>
      <c r="AJ12" s="484">
        <f t="shared" si="37"/>
        <v>0.15000000000000002</v>
      </c>
      <c r="AK12" s="152"/>
      <c r="AL12" s="589">
        <f t="shared" si="6"/>
        <v>7.4999999999999997E-2</v>
      </c>
      <c r="AM12" s="484">
        <f t="shared" si="7"/>
        <v>7.4999999999999997E-2</v>
      </c>
      <c r="AN12" s="484">
        <f t="shared" si="8"/>
        <v>7.4999999999999997E-2</v>
      </c>
      <c r="AO12" s="484">
        <f t="shared" si="38"/>
        <v>0.22499999999999998</v>
      </c>
      <c r="AP12" s="152"/>
      <c r="AQ12" s="589">
        <f t="shared" si="9"/>
        <v>6.5000000000000002E-2</v>
      </c>
      <c r="AR12" s="484">
        <f t="shared" si="10"/>
        <v>6.5000000000000002E-2</v>
      </c>
      <c r="AS12" s="484">
        <f t="shared" si="11"/>
        <v>6.5000000000000002E-2</v>
      </c>
      <c r="AT12" s="484">
        <f t="shared" si="39"/>
        <v>0.19500000000000001</v>
      </c>
      <c r="AU12" s="152"/>
      <c r="AV12" s="609"/>
      <c r="AW12" s="589">
        <f t="shared" si="12"/>
        <v>5.4999999999999993E-2</v>
      </c>
      <c r="AX12" s="484">
        <f t="shared" si="13"/>
        <v>5.4999999999999993E-2</v>
      </c>
      <c r="AY12" s="484">
        <f t="shared" si="14"/>
        <v>5.4999999999999993E-2</v>
      </c>
      <c r="AZ12" s="484">
        <f t="shared" si="40"/>
        <v>0.16499999999999998</v>
      </c>
      <c r="BA12" s="152"/>
      <c r="BB12" s="589">
        <f t="shared" si="15"/>
        <v>4.4999999999999998E-2</v>
      </c>
      <c r="BC12" s="484">
        <f t="shared" si="16"/>
        <v>4.4999999999999998E-2</v>
      </c>
      <c r="BD12" s="484">
        <f t="shared" si="17"/>
        <v>4.4999999999999998E-2</v>
      </c>
      <c r="BE12" s="484">
        <f t="shared" si="41"/>
        <v>0.13500000000000001</v>
      </c>
      <c r="BF12" s="152"/>
      <c r="BG12" s="589">
        <f t="shared" si="18"/>
        <v>3.4999999999999996E-2</v>
      </c>
      <c r="BH12" s="484">
        <f t="shared" si="19"/>
        <v>3.4999999999999996E-2</v>
      </c>
      <c r="BI12" s="484">
        <f t="shared" si="20"/>
        <v>3.4999999999999996E-2</v>
      </c>
      <c r="BJ12" s="484">
        <f t="shared" si="42"/>
        <v>0.10499999999999998</v>
      </c>
      <c r="BK12" s="152"/>
      <c r="BL12" s="589">
        <f t="shared" si="21"/>
        <v>2.4999999999999994E-2</v>
      </c>
      <c r="BM12" s="484">
        <f t="shared" si="22"/>
        <v>2.4999999999999994E-2</v>
      </c>
      <c r="BN12" s="484">
        <f t="shared" si="23"/>
        <v>2.4999999999999994E-2</v>
      </c>
      <c r="BO12" s="484">
        <f t="shared" si="51"/>
        <v>7.4999999999999983E-2</v>
      </c>
      <c r="BP12" s="152"/>
      <c r="BQ12" s="293"/>
      <c r="BR12" s="589">
        <f t="shared" si="24"/>
        <v>1.4999999999999999E-2</v>
      </c>
      <c r="BS12" s="484">
        <f t="shared" si="25"/>
        <v>1.4999999999999999E-2</v>
      </c>
      <c r="BT12" s="484">
        <f t="shared" si="26"/>
        <v>1.4999999999999999E-2</v>
      </c>
      <c r="BU12" s="484">
        <f t="shared" si="52"/>
        <v>4.4999999999999998E-2</v>
      </c>
      <c r="BV12" s="152"/>
      <c r="BW12" s="589">
        <f t="shared" si="27"/>
        <v>4.9999999999999906E-3</v>
      </c>
      <c r="BX12" s="484">
        <f t="shared" si="28"/>
        <v>4.9999999999999906E-3</v>
      </c>
      <c r="BY12" s="484">
        <f t="shared" si="29"/>
        <v>4.9999999999999906E-3</v>
      </c>
      <c r="BZ12" s="484">
        <f t="shared" si="53"/>
        <v>1.4999999999999972E-2</v>
      </c>
      <c r="CA12" s="152"/>
      <c r="CB12" s="589">
        <f t="shared" si="30"/>
        <v>0</v>
      </c>
      <c r="CC12" s="484">
        <f t="shared" si="31"/>
        <v>0</v>
      </c>
      <c r="CD12" s="484">
        <f t="shared" si="32"/>
        <v>0</v>
      </c>
      <c r="CE12" s="484">
        <f t="shared" si="54"/>
        <v>0</v>
      </c>
      <c r="CF12" s="152"/>
      <c r="CG12" s="589">
        <f t="shared" si="33"/>
        <v>0</v>
      </c>
      <c r="CH12" s="484">
        <f t="shared" si="34"/>
        <v>0</v>
      </c>
      <c r="CI12" s="484">
        <f t="shared" si="35"/>
        <v>0</v>
      </c>
      <c r="CJ12" s="484">
        <f t="shared" si="55"/>
        <v>0</v>
      </c>
      <c r="CK12" s="152"/>
      <c r="CL12" s="153"/>
      <c r="CM12" s="153"/>
      <c r="CN12" s="153"/>
      <c r="CO12" s="153"/>
      <c r="CP12" s="153"/>
      <c r="CQ12" s="153"/>
      <c r="CR12" s="153"/>
      <c r="CS12" s="153"/>
      <c r="CT12" s="153"/>
      <c r="CU12" s="153"/>
      <c r="CV12" s="153"/>
      <c r="CW12" s="153"/>
      <c r="CX12" s="153"/>
      <c r="CY12" s="153"/>
      <c r="CZ12" s="153"/>
      <c r="DA12" s="153"/>
      <c r="DB12" s="153"/>
      <c r="DC12" s="153"/>
      <c r="DD12" s="153"/>
      <c r="DE12" s="153"/>
      <c r="DF12" s="153"/>
      <c r="DG12" s="153"/>
      <c r="DH12" s="153"/>
      <c r="DI12" s="153"/>
      <c r="DJ12" s="153"/>
      <c r="DK12" s="153"/>
      <c r="DL12" s="153"/>
      <c r="DM12" s="153"/>
      <c r="DN12" s="153"/>
      <c r="DO12" s="153"/>
      <c r="DP12" s="153"/>
      <c r="DQ12" s="153"/>
      <c r="DR12" s="153"/>
      <c r="DS12" s="153"/>
      <c r="DT12" s="153"/>
      <c r="DU12" s="153"/>
      <c r="DV12" s="153"/>
      <c r="DW12" s="153"/>
      <c r="DX12" s="153"/>
      <c r="DY12" s="153"/>
      <c r="DZ12" s="153"/>
      <c r="EA12" s="153"/>
      <c r="EB12" s="153"/>
      <c r="EC12" s="153"/>
      <c r="ED12" s="153"/>
      <c r="EE12" s="153"/>
      <c r="EF12" s="153"/>
      <c r="EG12" s="153"/>
      <c r="EH12" s="153"/>
      <c r="EI12" s="153"/>
      <c r="EJ12" s="153"/>
      <c r="EK12" s="153"/>
      <c r="EL12" s="153"/>
      <c r="EM12" s="153"/>
      <c r="EN12" s="153"/>
      <c r="EO12" s="153"/>
      <c r="EP12" s="153"/>
      <c r="EQ12" s="153"/>
      <c r="ER12" s="153"/>
      <c r="ES12" s="153"/>
      <c r="ET12" s="153"/>
      <c r="EU12" s="153"/>
      <c r="EV12" s="153"/>
      <c r="EW12" s="153"/>
      <c r="EX12" s="153"/>
      <c r="EY12" s="153"/>
      <c r="EZ12" s="153"/>
      <c r="FA12" s="153"/>
      <c r="FB12" s="153"/>
      <c r="FC12" s="153"/>
      <c r="FD12" s="153"/>
      <c r="FE12" s="153"/>
      <c r="FF12" s="153"/>
      <c r="FG12" s="153"/>
      <c r="FH12" s="153"/>
      <c r="FI12" s="153"/>
      <c r="FJ12" s="153"/>
      <c r="FK12" s="153"/>
      <c r="FL12" s="153"/>
      <c r="FM12" s="153"/>
      <c r="FN12" s="153"/>
      <c r="FO12" s="153"/>
      <c r="FP12" s="153"/>
      <c r="FQ12" s="153"/>
      <c r="FR12" s="153"/>
      <c r="FS12" s="153"/>
      <c r="FT12" s="153"/>
      <c r="FU12" s="153"/>
      <c r="FV12" s="153"/>
      <c r="FW12" s="153"/>
    </row>
    <row r="13" spans="1:179" s="144" customFormat="1" ht="9.75" customHeight="1" thickBot="1" x14ac:dyDescent="0.2">
      <c r="A13" s="512" t="s">
        <v>139</v>
      </c>
      <c r="B13" s="294">
        <v>0.05</v>
      </c>
      <c r="C13" s="375">
        <v>-5.0000000000000001E-3</v>
      </c>
      <c r="D13" s="627"/>
      <c r="E13" s="295"/>
      <c r="F13" s="156">
        <v>0</v>
      </c>
      <c r="G13" s="157">
        <v>0</v>
      </c>
      <c r="H13" s="485">
        <f t="shared" si="56"/>
        <v>0.05</v>
      </c>
      <c r="I13" s="485">
        <f t="shared" si="57"/>
        <v>4.5000000000000005E-2</v>
      </c>
      <c r="J13" s="158">
        <f t="shared" si="58"/>
        <v>0.32104243545312494</v>
      </c>
      <c r="K13" s="485">
        <f t="shared" si="59"/>
        <v>0.04</v>
      </c>
      <c r="L13" s="485">
        <f t="shared" si="60"/>
        <v>3.5000000000000003E-2</v>
      </c>
      <c r="M13" s="485">
        <f t="shared" si="61"/>
        <v>3.0000000000000002E-2</v>
      </c>
      <c r="N13" s="485">
        <f t="shared" si="62"/>
        <v>2.5000000000000001E-2</v>
      </c>
      <c r="O13" s="158">
        <f t="shared" si="63"/>
        <v>0.46758862703724624</v>
      </c>
      <c r="P13" s="485">
        <f t="shared" si="64"/>
        <v>2.0000000000000004E-2</v>
      </c>
      <c r="Q13" s="485">
        <f t="shared" si="65"/>
        <v>1.4999999999999999E-2</v>
      </c>
      <c r="R13" s="485">
        <f t="shared" si="66"/>
        <v>1.0000000000000002E-2</v>
      </c>
      <c r="S13" s="485">
        <f t="shared" si="67"/>
        <v>5.0000000000000044E-3</v>
      </c>
      <c r="T13" s="155">
        <f t="shared" si="68"/>
        <v>0.16054223105011522</v>
      </c>
      <c r="U13" s="296"/>
      <c r="V13" s="160">
        <f>SUM(IF((12*(IF(ISBLANK(E13),C13,E13)))+(IF(ISBLANK(D13),B13,D13)) &lt; 0, 0, (12*(IF(ISBLANK(E13),C13,E13)))+(IF(ISBLANK(D13),B13,D13))))*12</f>
        <v>0</v>
      </c>
      <c r="W13" s="158">
        <f>SUM(IF((15*(IF(ISBLANK(E13),C13,E13)))+(IF(ISBLANK(D13),B13,D13)) &lt; 0, 0, (15*(IF(ISBLANK(E13),C13,E13)))+(IF(ISBLANK(D13),B13,D13))))*12</f>
        <v>0</v>
      </c>
      <c r="X13" s="159">
        <f>SUM(IF((18*(IF(ISBLANK(E13),C13,E13)))+(IF(ISBLANK(D13),B13,D13)) &lt; 0, 0, (18*(IF(ISBLANK(E13),C13,E13)))+(IF(ISBLANK(D13),B13,D13))))*12</f>
        <v>0</v>
      </c>
      <c r="Y13" s="161"/>
      <c r="Z13" s="572">
        <v>0</v>
      </c>
      <c r="AA13" s="610"/>
      <c r="AB13" s="590">
        <f t="shared" si="0"/>
        <v>0</v>
      </c>
      <c r="AC13" s="485">
        <f t="shared" si="1"/>
        <v>0</v>
      </c>
      <c r="AD13" s="485">
        <f t="shared" si="2"/>
        <v>0</v>
      </c>
      <c r="AE13" s="485">
        <f t="shared" si="36"/>
        <v>0</v>
      </c>
      <c r="AF13" s="162"/>
      <c r="AG13" s="590">
        <f t="shared" si="3"/>
        <v>0</v>
      </c>
      <c r="AH13" s="485">
        <f t="shared" si="4"/>
        <v>0</v>
      </c>
      <c r="AI13" s="485">
        <f t="shared" si="5"/>
        <v>0</v>
      </c>
      <c r="AJ13" s="485">
        <f t="shared" si="37"/>
        <v>0</v>
      </c>
      <c r="AK13" s="162"/>
      <c r="AL13" s="590">
        <f t="shared" si="6"/>
        <v>0.05</v>
      </c>
      <c r="AM13" s="485">
        <f t="shared" si="7"/>
        <v>0.05</v>
      </c>
      <c r="AN13" s="485">
        <f t="shared" si="8"/>
        <v>0.05</v>
      </c>
      <c r="AO13" s="485">
        <f t="shared" si="38"/>
        <v>0.15000000000000002</v>
      </c>
      <c r="AP13" s="162"/>
      <c r="AQ13" s="590">
        <f t="shared" si="9"/>
        <v>4.5000000000000005E-2</v>
      </c>
      <c r="AR13" s="485">
        <f t="shared" si="10"/>
        <v>4.5000000000000005E-2</v>
      </c>
      <c r="AS13" s="485">
        <f t="shared" si="11"/>
        <v>4.5000000000000005E-2</v>
      </c>
      <c r="AT13" s="485">
        <f t="shared" si="39"/>
        <v>0.13500000000000001</v>
      </c>
      <c r="AU13" s="162"/>
      <c r="AV13" s="610"/>
      <c r="AW13" s="590">
        <f t="shared" si="12"/>
        <v>0.04</v>
      </c>
      <c r="AX13" s="485">
        <f t="shared" si="13"/>
        <v>0.04</v>
      </c>
      <c r="AY13" s="485">
        <f t="shared" si="14"/>
        <v>0.04</v>
      </c>
      <c r="AZ13" s="485">
        <f t="shared" si="40"/>
        <v>0.12</v>
      </c>
      <c r="BA13" s="162"/>
      <c r="BB13" s="590">
        <f t="shared" si="15"/>
        <v>3.5000000000000003E-2</v>
      </c>
      <c r="BC13" s="485">
        <f t="shared" si="16"/>
        <v>3.5000000000000003E-2</v>
      </c>
      <c r="BD13" s="485">
        <f t="shared" si="17"/>
        <v>3.5000000000000003E-2</v>
      </c>
      <c r="BE13" s="485">
        <f t="shared" si="41"/>
        <v>0.10500000000000001</v>
      </c>
      <c r="BF13" s="162"/>
      <c r="BG13" s="590">
        <f t="shared" si="18"/>
        <v>3.0000000000000002E-2</v>
      </c>
      <c r="BH13" s="485">
        <f t="shared" si="19"/>
        <v>3.0000000000000002E-2</v>
      </c>
      <c r="BI13" s="485">
        <f t="shared" si="20"/>
        <v>3.0000000000000002E-2</v>
      </c>
      <c r="BJ13" s="485">
        <f t="shared" si="42"/>
        <v>9.0000000000000011E-2</v>
      </c>
      <c r="BK13" s="162"/>
      <c r="BL13" s="590">
        <f t="shared" si="21"/>
        <v>2.5000000000000001E-2</v>
      </c>
      <c r="BM13" s="485">
        <f t="shared" si="22"/>
        <v>2.5000000000000001E-2</v>
      </c>
      <c r="BN13" s="485">
        <f t="shared" si="23"/>
        <v>2.5000000000000001E-2</v>
      </c>
      <c r="BO13" s="485">
        <f t="shared" si="51"/>
        <v>7.5000000000000011E-2</v>
      </c>
      <c r="BP13" s="162"/>
      <c r="BQ13" s="296"/>
      <c r="BR13" s="590">
        <f t="shared" si="24"/>
        <v>2.0000000000000004E-2</v>
      </c>
      <c r="BS13" s="485">
        <f t="shared" si="25"/>
        <v>2.0000000000000004E-2</v>
      </c>
      <c r="BT13" s="485">
        <f t="shared" si="26"/>
        <v>2.0000000000000004E-2</v>
      </c>
      <c r="BU13" s="485">
        <f t="shared" si="52"/>
        <v>6.0000000000000012E-2</v>
      </c>
      <c r="BV13" s="162"/>
      <c r="BW13" s="590">
        <f t="shared" si="27"/>
        <v>1.4999999999999999E-2</v>
      </c>
      <c r="BX13" s="485">
        <f t="shared" si="28"/>
        <v>1.4999999999999999E-2</v>
      </c>
      <c r="BY13" s="485">
        <f t="shared" si="29"/>
        <v>1.4999999999999999E-2</v>
      </c>
      <c r="BZ13" s="485">
        <f t="shared" si="53"/>
        <v>4.4999999999999998E-2</v>
      </c>
      <c r="CA13" s="162"/>
      <c r="CB13" s="590">
        <f t="shared" si="30"/>
        <v>1.0000000000000002E-2</v>
      </c>
      <c r="CC13" s="485">
        <f t="shared" si="31"/>
        <v>1.0000000000000002E-2</v>
      </c>
      <c r="CD13" s="485">
        <f t="shared" si="32"/>
        <v>1.0000000000000002E-2</v>
      </c>
      <c r="CE13" s="485">
        <f t="shared" si="54"/>
        <v>3.0000000000000006E-2</v>
      </c>
      <c r="CF13" s="162"/>
      <c r="CG13" s="590">
        <f t="shared" si="33"/>
        <v>5.0000000000000044E-3</v>
      </c>
      <c r="CH13" s="485">
        <f t="shared" si="34"/>
        <v>5.0000000000000044E-3</v>
      </c>
      <c r="CI13" s="485">
        <f t="shared" si="35"/>
        <v>5.0000000000000044E-3</v>
      </c>
      <c r="CJ13" s="485">
        <f t="shared" si="55"/>
        <v>1.5000000000000013E-2</v>
      </c>
      <c r="CK13" s="162"/>
      <c r="CL13" s="153"/>
      <c r="CM13" s="153"/>
      <c r="CN13" s="153"/>
      <c r="CO13" s="153"/>
      <c r="CP13" s="153"/>
      <c r="CQ13" s="153"/>
      <c r="CR13" s="153"/>
      <c r="CS13" s="153"/>
      <c r="CT13" s="153"/>
      <c r="CU13" s="153"/>
      <c r="CV13" s="153"/>
      <c r="CW13" s="153"/>
      <c r="CX13" s="153"/>
      <c r="CY13" s="153"/>
      <c r="CZ13" s="153"/>
      <c r="DA13" s="153"/>
      <c r="DB13" s="153"/>
      <c r="DC13" s="153"/>
      <c r="DD13" s="153"/>
      <c r="DE13" s="153"/>
      <c r="DF13" s="153"/>
      <c r="DG13" s="153"/>
      <c r="DH13" s="153"/>
      <c r="DI13" s="153"/>
      <c r="DJ13" s="153"/>
      <c r="DK13" s="153"/>
      <c r="DL13" s="153"/>
      <c r="DM13" s="153"/>
      <c r="DN13" s="153"/>
      <c r="DO13" s="153"/>
      <c r="DP13" s="153"/>
      <c r="DQ13" s="153"/>
      <c r="DR13" s="153"/>
      <c r="DS13" s="153"/>
      <c r="DT13" s="153"/>
      <c r="DU13" s="153"/>
      <c r="DV13" s="153"/>
      <c r="DW13" s="153"/>
      <c r="DX13" s="153"/>
      <c r="DY13" s="153"/>
      <c r="DZ13" s="153"/>
      <c r="EA13" s="153"/>
      <c r="EB13" s="153"/>
      <c r="EC13" s="153"/>
      <c r="ED13" s="153"/>
      <c r="EE13" s="153"/>
      <c r="EF13" s="153"/>
      <c r="EG13" s="153"/>
      <c r="EH13" s="153"/>
      <c r="EI13" s="153"/>
      <c r="EJ13" s="153"/>
      <c r="EK13" s="153"/>
      <c r="EL13" s="153"/>
      <c r="EM13" s="153"/>
      <c r="EN13" s="153"/>
      <c r="EO13" s="153"/>
      <c r="EP13" s="153"/>
      <c r="EQ13" s="153"/>
      <c r="ER13" s="153"/>
      <c r="ES13" s="153"/>
      <c r="ET13" s="153"/>
      <c r="EU13" s="153"/>
      <c r="EV13" s="153"/>
      <c r="EW13" s="153"/>
      <c r="EX13" s="153"/>
      <c r="EY13" s="153"/>
      <c r="EZ13" s="153"/>
      <c r="FA13" s="153"/>
      <c r="FB13" s="153"/>
      <c r="FC13" s="153"/>
      <c r="FD13" s="153"/>
      <c r="FE13" s="153"/>
      <c r="FF13" s="153"/>
      <c r="FG13" s="153"/>
      <c r="FH13" s="153"/>
      <c r="FI13" s="153"/>
      <c r="FJ13" s="153"/>
      <c r="FK13" s="153"/>
      <c r="FL13" s="153"/>
      <c r="FM13" s="153"/>
      <c r="FN13" s="153"/>
      <c r="FO13" s="153"/>
      <c r="FP13" s="153"/>
      <c r="FQ13" s="153"/>
      <c r="FR13" s="153"/>
      <c r="FS13" s="153"/>
      <c r="FT13" s="153"/>
      <c r="FU13" s="153"/>
      <c r="FV13" s="153"/>
      <c r="FW13" s="153"/>
    </row>
    <row r="14" spans="1:179" s="144" customFormat="1" ht="9.75" customHeight="1" x14ac:dyDescent="0.15">
      <c r="A14" s="471" t="s">
        <v>140</v>
      </c>
      <c r="B14" s="163">
        <v>5000000</v>
      </c>
      <c r="C14" s="297">
        <v>3000000000</v>
      </c>
      <c r="D14" s="165"/>
      <c r="E14" s="298"/>
      <c r="F14" s="498">
        <f>SUM(IF(((1-(Z18/(IF(ISBLANK(D14),B14,(IF(D14=0,9.99999999999999E+29,D14))))))*SUM(F9:F13))&lt;0,0,((1-(Z18/(IF(ISBLANK(D14),B14,(IF(D14=0,9.99999999999999E+29,D14))))))*SUM(F9:F13))))</f>
        <v>9.9970000000000007E-3</v>
      </c>
      <c r="G14" s="499">
        <f>SUM(IF(((1-(F18/(IF(ISBLANK(D14),B14,(IF(D14=0,9.99999999999999E+29,D14))))))*SUM(G9:G13))&lt;0,0,((1-(F18/(IF(ISBLANK(D14),B14,(IF(D14=0,9.99999999999999E+29,D14))))))*SUM(G9:G13))))</f>
        <v>0.1199485148622277</v>
      </c>
      <c r="H14" s="499">
        <f>SUM(IF(((1-(G18/(IF(ISBLANK(D14),B14,(IF(D14=0,9.99999999999999E+29,D14))))))*SUM(H9:H13))&lt;0,0,((1-(G18/(IF(ISBLANK(D14),B14,(IF(D14=0,9.99999999999999E+29,D14))))))*SUM(H9:H13))))</f>
        <v>0.34464678802344945</v>
      </c>
      <c r="I14" s="499">
        <f>SUM(IF(((1-(H18/(IF(ISBLANK(D14),B14,(IF(D14=0,9.99999999999999E+29,D14))))))*SUM(I9:I13))&lt;0,0,((1-(H18/(IF(ISBLANK(D14),B14,(IF(D14=0,9.99999999999999E+29,D14))))))*SUM(I9:I13))))</f>
        <v>0.31966594938081361</v>
      </c>
      <c r="J14" s="500">
        <f>SUM(((1+F14)*(1+F14)*(1+F14)*(1+G14)*(1+G14)*(1+G14)*(1+H14)*(1+H14)*(1+H14)*(1+I14)*(1+I14)*(1+I14))-1)</f>
        <v>7.0866959646428285</v>
      </c>
      <c r="K14" s="499">
        <f>SUM(IF(((1-(I18/(IF(ISBLANK(E14),C14,(IF(E14=0,9.99999999999999E+29,E14))))))*SUM(K9:K13))&lt;0,0,((1-(I18/(IF(ISBLANK(E14),C14,(IF(E14=0,9.99999999999999E+29,E14))))))*SUM(K9:K13))))</f>
        <v>0.29899060624545276</v>
      </c>
      <c r="L14" s="499">
        <f>SUM(IF(((1-(K18/(IF(ISBLANK(E14),C14,(IF(E14=0,9.99999999999999E+29,E14))))))*SUM(L9:L13))&lt;0,0,((1-(K18/(IF(ISBLANK(E14),C14,(IF(E14=0,9.99999999999999E+29,E14))))))*SUM(L9:L13))))</f>
        <v>0.27598112733193031</v>
      </c>
      <c r="M14" s="499">
        <f>SUM(IF(((1-(L18/(IF(ISBLANK(E14),C14,(IF(E14=0,9.99999999999999E+29,E14))))))*SUM(M9:M13))&lt;0,0,((1-(L18/(IF(ISBLANK(E14),C14,(IF(E14=0,9.99999999999999E+29,E14))))))*SUM(M9:M13))))</f>
        <v>0.25296451420974531</v>
      </c>
      <c r="N14" s="499">
        <f>SUM(IF(((1-(M18/(IF(ISBLANK(E14),C14,(IF(E14=0,9.99999999999999E+29,E14))))))*SUM(N9:N13))&lt;0,0,((1-(M18/(IF(ISBLANK(E14),C14,(IF(E14=0,9.99999999999999E+29,E14))))))*SUM(N9:N13))))</f>
        <v>0.22993562941088744</v>
      </c>
      <c r="O14" s="501">
        <f t="shared" si="63"/>
        <v>15.665342582019338</v>
      </c>
      <c r="P14" s="499">
        <f>SUM(IF(((1-(N18/(IF(ISBLANK(E14),C14,(IF(E14=0,9.99999999999999E+29,E14))))))*SUM(P9:P13))&lt;0,0,((1-(N18/(IF(ISBLANK(E14),C14,(IF(E14=0,9.99999999999999E+29,E14))))))*SUM(P9:P13))))</f>
        <v>0.20688480508295318</v>
      </c>
      <c r="Q14" s="499">
        <f>SUM(IF(((1-(P18/(IF(ISBLANK(E14),C14,(IF(E14=0,9.99999999999999E+29,E14))))))*SUM(Q9:Q13))&lt;0,0,((1-(P18/(IF(ISBLANK(E14),C14,(IF(E14=0,9.99999999999999E+29,E14))))))*SUM(Q9:Q13))))</f>
        <v>0.18379630885116732</v>
      </c>
      <c r="R14" s="499">
        <f>SUM(IF(((1-(Q18/(IF(ISBLANK(E14),C14,(IF(E14=0,9.99999999999999E+29,E14))))))*SUM(R9:R13))&lt;0,0,((1-(Q18/(IF(ISBLANK(E14),C14,(IF(E14=0,9.99999999999999E+29,E14))))))*SUM(R9:R13))))</f>
        <v>0.16563345851569197</v>
      </c>
      <c r="S14" s="499">
        <f>SUM(IF(((1-(R18/(IF(ISBLANK(E14),C14,(IF(E14=0,9.99999999999999E+29,E14))))))*SUM(S9:S13))&lt;0,0,((1-(R18/(IF(ISBLANK(E14),C14,(IF(E14=0,9.99999999999999E+29,E14))))))*SUM(S9:S13))))</f>
        <v>0.15231011668020364</v>
      </c>
      <c r="T14" s="503">
        <f t="shared" si="68"/>
        <v>6.0667957988590091</v>
      </c>
      <c r="U14" s="537"/>
      <c r="V14" s="640">
        <f>SUM(IF(((1-(T18/(IF(ISBLANK(E14),C14,(IF(E14=0,9.99999999999999E+29,E14))))))*SUM(V9:V13))&lt;0,0,((1-(T18/(IF(ISBLANK(E14),C14,(IF(E14=0,9.99999999999999E+29,E14))))))*SUM(V9:V13))))</f>
        <v>1.4740179123104924</v>
      </c>
      <c r="W14" s="500">
        <f>SUM(IF(((1-(V18/(IF(ISBLANK(E14),C14,(IF(E14=0,9.99999999999999E+29,E14))))))*SUM(W9:W13))&lt;0,0,((1-(V18/(IF(ISBLANK(E14),C14,(IF(E14=0,9.99999999999999E+29,E14))))))*SUM(W9:W13))))</f>
        <v>1.1654722369195456</v>
      </c>
      <c r="X14" s="641">
        <f>SUM(IF(((1-(W18/(IF(ISBLANK(E14),C14,(IF(E14=0,9.99999999999999E+29,E14))))))*SUM(X9:X13))&lt;0,0,((1-(W18/(IF(ISBLANK(E14),C14,(IF(E14=0,9.99999999999999E+29,E14))))))*SUM(X9:X13))))</f>
        <v>0.84603055175186381</v>
      </c>
      <c r="Y14" s="537"/>
      <c r="Z14" s="573">
        <v>0</v>
      </c>
      <c r="AA14" s="611"/>
      <c r="AB14" s="591">
        <f t="shared" si="0"/>
        <v>9.9970000000000007E-3</v>
      </c>
      <c r="AC14" s="499">
        <f t="shared" si="1"/>
        <v>9.9970000000000007E-3</v>
      </c>
      <c r="AD14" s="499">
        <f t="shared" si="2"/>
        <v>9.9970000000000007E-3</v>
      </c>
      <c r="AE14" s="499">
        <f t="shared" si="36"/>
        <v>2.9991000000000004E-2</v>
      </c>
      <c r="AF14" s="597"/>
      <c r="AG14" s="591">
        <f t="shared" si="3"/>
        <v>0.1199485148622277</v>
      </c>
      <c r="AH14" s="499">
        <f t="shared" si="4"/>
        <v>0.1199485148622277</v>
      </c>
      <c r="AI14" s="499">
        <f t="shared" si="5"/>
        <v>0.1199485148622277</v>
      </c>
      <c r="AJ14" s="499">
        <f t="shared" si="37"/>
        <v>0.35984554458668311</v>
      </c>
      <c r="AK14" s="597"/>
      <c r="AL14" s="591">
        <f t="shared" si="6"/>
        <v>0.34464678802344945</v>
      </c>
      <c r="AM14" s="499">
        <f t="shared" si="7"/>
        <v>0.34464678802344945</v>
      </c>
      <c r="AN14" s="499">
        <f t="shared" si="8"/>
        <v>0.34464678802344945</v>
      </c>
      <c r="AO14" s="499">
        <f t="shared" si="38"/>
        <v>1.0339403640703484</v>
      </c>
      <c r="AP14" s="597"/>
      <c r="AQ14" s="591">
        <f t="shared" si="9"/>
        <v>0.31966594938081361</v>
      </c>
      <c r="AR14" s="499">
        <f t="shared" si="10"/>
        <v>0.31966594938081361</v>
      </c>
      <c r="AS14" s="499">
        <f t="shared" si="11"/>
        <v>0.31966594938081361</v>
      </c>
      <c r="AT14" s="499">
        <f t="shared" si="39"/>
        <v>0.95899784814244082</v>
      </c>
      <c r="AU14" s="597"/>
      <c r="AV14" s="611"/>
      <c r="AW14" s="591">
        <f t="shared" si="12"/>
        <v>0.29899060624545276</v>
      </c>
      <c r="AX14" s="499">
        <f t="shared" si="13"/>
        <v>0.29899060624545276</v>
      </c>
      <c r="AY14" s="499">
        <f t="shared" si="14"/>
        <v>0.29899060624545276</v>
      </c>
      <c r="AZ14" s="499">
        <f t="shared" si="40"/>
        <v>0.89697181873635823</v>
      </c>
      <c r="BA14" s="597"/>
      <c r="BB14" s="591">
        <f t="shared" si="15"/>
        <v>0.27598112733193031</v>
      </c>
      <c r="BC14" s="499">
        <f t="shared" si="16"/>
        <v>0.27598112733193031</v>
      </c>
      <c r="BD14" s="499">
        <f t="shared" si="17"/>
        <v>0.27598112733193031</v>
      </c>
      <c r="BE14" s="499">
        <f t="shared" si="41"/>
        <v>0.82794338199579087</v>
      </c>
      <c r="BF14" s="597"/>
      <c r="BG14" s="591">
        <f t="shared" si="18"/>
        <v>0.25296451420974531</v>
      </c>
      <c r="BH14" s="499">
        <f t="shared" si="19"/>
        <v>0.25296451420974531</v>
      </c>
      <c r="BI14" s="499">
        <f t="shared" si="20"/>
        <v>0.25296451420974531</v>
      </c>
      <c r="BJ14" s="499">
        <f t="shared" si="42"/>
        <v>0.75889354262923592</v>
      </c>
      <c r="BK14" s="597"/>
      <c r="BL14" s="591">
        <f t="shared" si="21"/>
        <v>0.22993562941088744</v>
      </c>
      <c r="BM14" s="499">
        <f t="shared" si="22"/>
        <v>0.22993562941088744</v>
      </c>
      <c r="BN14" s="499">
        <f t="shared" si="23"/>
        <v>0.22993562941088744</v>
      </c>
      <c r="BO14" s="499">
        <f t="shared" si="51"/>
        <v>0.68980688823266234</v>
      </c>
      <c r="BP14" s="597"/>
      <c r="BQ14" s="537"/>
      <c r="BR14" s="591">
        <f t="shared" si="24"/>
        <v>0.20688480508295318</v>
      </c>
      <c r="BS14" s="499">
        <f t="shared" si="25"/>
        <v>0.20688480508295318</v>
      </c>
      <c r="BT14" s="499">
        <f t="shared" si="26"/>
        <v>0.20688480508295318</v>
      </c>
      <c r="BU14" s="499">
        <f t="shared" si="52"/>
        <v>0.62065441524885956</v>
      </c>
      <c r="BV14" s="597"/>
      <c r="BW14" s="591">
        <f t="shared" si="27"/>
        <v>0.18379630885116732</v>
      </c>
      <c r="BX14" s="499">
        <f t="shared" si="28"/>
        <v>0.18379630885116732</v>
      </c>
      <c r="BY14" s="499">
        <f t="shared" si="29"/>
        <v>0.18379630885116732</v>
      </c>
      <c r="BZ14" s="499">
        <f t="shared" si="53"/>
        <v>0.55138892655350191</v>
      </c>
      <c r="CA14" s="597"/>
      <c r="CB14" s="591">
        <f t="shared" si="30"/>
        <v>0.16563345851569197</v>
      </c>
      <c r="CC14" s="499">
        <f t="shared" si="31"/>
        <v>0.16563345851569197</v>
      </c>
      <c r="CD14" s="499">
        <f t="shared" si="32"/>
        <v>0.16563345851569197</v>
      </c>
      <c r="CE14" s="499">
        <f t="shared" si="54"/>
        <v>0.49690037554707589</v>
      </c>
      <c r="CF14" s="597"/>
      <c r="CG14" s="591">
        <f t="shared" si="33"/>
        <v>0.15231011668020364</v>
      </c>
      <c r="CH14" s="499">
        <f t="shared" si="34"/>
        <v>0.15231011668020364</v>
      </c>
      <c r="CI14" s="499">
        <f t="shared" si="35"/>
        <v>0.15231011668020364</v>
      </c>
      <c r="CJ14" s="499">
        <f t="shared" si="55"/>
        <v>0.45693035004061089</v>
      </c>
      <c r="CK14" s="166"/>
      <c r="CL14" s="153"/>
      <c r="CM14" s="153"/>
      <c r="CN14" s="153"/>
      <c r="CO14" s="153"/>
      <c r="CP14" s="153"/>
      <c r="CQ14" s="153"/>
      <c r="CR14" s="153"/>
      <c r="CS14" s="153"/>
      <c r="CT14" s="153"/>
      <c r="CU14" s="153"/>
      <c r="CV14" s="153"/>
      <c r="CW14" s="153"/>
      <c r="CX14" s="153"/>
      <c r="CY14" s="153"/>
      <c r="CZ14" s="153"/>
      <c r="DA14" s="153"/>
      <c r="DB14" s="153"/>
      <c r="DC14" s="153"/>
      <c r="DD14" s="153"/>
      <c r="DE14" s="153"/>
      <c r="DF14" s="153"/>
      <c r="DG14" s="153"/>
      <c r="DH14" s="153"/>
      <c r="DI14" s="153"/>
      <c r="DJ14" s="153"/>
      <c r="DK14" s="153"/>
      <c r="DL14" s="153"/>
      <c r="DM14" s="153"/>
      <c r="DN14" s="153"/>
      <c r="DO14" s="153"/>
      <c r="DP14" s="153"/>
      <c r="DQ14" s="153"/>
      <c r="DR14" s="153"/>
      <c r="DS14" s="153"/>
      <c r="DT14" s="153"/>
      <c r="DU14" s="153"/>
      <c r="DV14" s="153"/>
      <c r="DW14" s="153"/>
      <c r="DX14" s="153"/>
      <c r="DY14" s="153"/>
      <c r="DZ14" s="153"/>
      <c r="EA14" s="153"/>
      <c r="EB14" s="153"/>
      <c r="EC14" s="153"/>
      <c r="ED14" s="153"/>
      <c r="EE14" s="153"/>
      <c r="EF14" s="153"/>
      <c r="EG14" s="153"/>
      <c r="EH14" s="153"/>
      <c r="EI14" s="153"/>
      <c r="EJ14" s="153"/>
      <c r="EK14" s="153"/>
      <c r="EL14" s="153"/>
      <c r="EM14" s="153"/>
      <c r="EN14" s="153"/>
      <c r="EO14" s="153"/>
      <c r="EP14" s="153"/>
      <c r="EQ14" s="153"/>
      <c r="ER14" s="153"/>
      <c r="ES14" s="153"/>
      <c r="ET14" s="153"/>
      <c r="EU14" s="153"/>
      <c r="EV14" s="153"/>
      <c r="EW14" s="153"/>
      <c r="EX14" s="153"/>
      <c r="EY14" s="153"/>
      <c r="EZ14" s="153"/>
      <c r="FA14" s="153"/>
      <c r="FB14" s="153"/>
      <c r="FC14" s="153"/>
      <c r="FD14" s="153"/>
      <c r="FE14" s="153"/>
      <c r="FF14" s="153"/>
      <c r="FG14" s="153"/>
      <c r="FH14" s="153"/>
      <c r="FI14" s="153"/>
      <c r="FJ14" s="153"/>
      <c r="FK14" s="153"/>
      <c r="FL14" s="153"/>
      <c r="FM14" s="153"/>
      <c r="FN14" s="153"/>
      <c r="FO14" s="153"/>
      <c r="FP14" s="153"/>
      <c r="FQ14" s="153"/>
      <c r="FR14" s="153"/>
      <c r="FS14" s="153"/>
      <c r="FT14" s="153"/>
      <c r="FU14" s="153"/>
      <c r="FV14" s="153"/>
      <c r="FW14" s="153"/>
    </row>
    <row r="15" spans="1:179" s="144" customFormat="1" ht="9.75" customHeight="1" x14ac:dyDescent="0.15">
      <c r="A15" s="472" t="s">
        <v>141</v>
      </c>
      <c r="B15" s="167">
        <v>0.15</v>
      </c>
      <c r="C15" s="285">
        <v>-1.2E-2</v>
      </c>
      <c r="D15" s="626"/>
      <c r="E15" s="624"/>
      <c r="F15" s="622">
        <v>0.8</v>
      </c>
      <c r="G15" s="623">
        <v>0.5</v>
      </c>
      <c r="H15" s="502">
        <f>SUM(IF(     IF(ISBLANK(D15),B15,D15)   &gt;   0,   (     IF(ISBLANK(D15),B15,D15)   ),0))</f>
        <v>0.15</v>
      </c>
      <c r="I15" s="502">
        <f>SUM(IF(     IF(ISBLANK(D15),B15,D15)     +   (1* (IF(ISBLANK(E15),C15,E15))) &gt;   0,   (     IF(ISBLANK(D15),B15,D15)    +  (1* (IF(ISBLANK(E15),C15,E15)) )  ),0))</f>
        <v>0.13799999999999998</v>
      </c>
      <c r="J15" s="500">
        <f>SUM(((1+F15)*(1+F15)*(1+F15)*(1+G15)*(1+G15)*(1+G15)*(1+H15)*(1+H15)*(1+H15)*(1+I15)*(1+I15)*(1+I15))-1)</f>
        <v>43.117571652767531</v>
      </c>
      <c r="K15" s="502">
        <f>SUM(IF(     IF(ISBLANK(D15),B15,D15)    +   (2* (IF(ISBLANK(E15),C15,E15))) &gt;   0,   (     IF(ISBLANK(D15),B15,D15)    +  (2* (IF(ISBLANK(E15),C15,E15)) )  ),0))</f>
        <v>0.126</v>
      </c>
      <c r="L15" s="502">
        <f>SUM(IF(     IF(ISBLANK(D15),B15,D15)    +   (3* (IF(ISBLANK(E15),C15,E15))) &gt;   0,   (     IF(ISBLANK(D15),B15,D15)    +  (3* (IF(ISBLANK(E15),C15,E15)) )  ),0))</f>
        <v>0.11399999999999999</v>
      </c>
      <c r="M15" s="502">
        <f>SUM(IF(     IF(ISBLANK(D15),B15,D15)     +   (4* (IF(ISBLANK(E15),C15,E15))) &gt;   0,   (     IF(ISBLANK(D15),B15,D15)   +  (4* (IF(ISBLANK(E15),C15,E15)) )  ),0))</f>
        <v>0.10199999999999999</v>
      </c>
      <c r="N15" s="502">
        <f>SUM(IF(     IF(ISBLANK(D15),B15,D15)     +  (5* (IF(ISBLANK(E15),C15,E15))) &gt;   0,   (     IF(ISBLANK(D15),B15,D15)   +  (5* (IF(ISBLANK(E15),C15,E15)) )  ),0))</f>
        <v>0.09</v>
      </c>
      <c r="O15" s="500">
        <f t="shared" si="63"/>
        <v>2.420542740660216</v>
      </c>
      <c r="P15" s="502">
        <f>SUM(IF(     IF(ISBLANK(D15),B15,D15)     +   (6* (IF(ISBLANK(E15),C15,E15))) &gt;   0,   (     IF(ISBLANK(D15),B15,D15)    +  (6* (IF(ISBLANK(E15),C15,E15)) )  ),0))</f>
        <v>7.7999999999999986E-2</v>
      </c>
      <c r="Q15" s="502">
        <f>SUM(IF(     IF(ISBLANK(D15),B15,D15)     +   (7* (IF(ISBLANK(E15),C15,E15))) &gt;   0,   (     IF(ISBLANK(D15),B15,D15)    +  (7* (IF(ISBLANK(E15),C15,E15)) )  ),0))</f>
        <v>6.5999999999999989E-2</v>
      </c>
      <c r="R15" s="502">
        <f>SUM(IF(     IF(ISBLANK(D15),B15,D15)     +   (8* (IF(ISBLANK(E15),C15,E15))) &gt;   0,   (     IF(ISBLANK(D15),B15,D15)    +  (8* (IF(ISBLANK(E15),C15,E15)) )  ),0))</f>
        <v>5.3999999999999992E-2</v>
      </c>
      <c r="S15" s="502">
        <f>SUM(IF(     IF(ISBLANK(D15),B15,D15)     +   (9* (IF(ISBLANK(E15),C15,E15))) &gt;   0,   (     IF(ISBLANK(D15),B15,D15)   +  (9* (IF(ISBLANK(E15),C15,E15)) )  ),0))</f>
        <v>4.1999999999999996E-2</v>
      </c>
      <c r="T15" s="503">
        <f t="shared" si="68"/>
        <v>1.0102630316814332</v>
      </c>
      <c r="U15" s="538"/>
      <c r="V15" s="642">
        <v>0.2</v>
      </c>
      <c r="W15" s="506">
        <v>0.2</v>
      </c>
      <c r="X15" s="643">
        <v>0.2</v>
      </c>
      <c r="Y15" s="538"/>
      <c r="Z15" s="574">
        <v>0.7</v>
      </c>
      <c r="AA15" s="612"/>
      <c r="AB15" s="592">
        <f t="shared" si="0"/>
        <v>0.8</v>
      </c>
      <c r="AC15" s="502">
        <f t="shared" si="1"/>
        <v>0.8</v>
      </c>
      <c r="AD15" s="502">
        <f t="shared" si="2"/>
        <v>0.8</v>
      </c>
      <c r="AE15" s="502">
        <f t="shared" si="36"/>
        <v>2.4000000000000004</v>
      </c>
      <c r="AF15" s="598"/>
      <c r="AG15" s="592">
        <f t="shared" si="3"/>
        <v>0.5</v>
      </c>
      <c r="AH15" s="502">
        <f t="shared" si="4"/>
        <v>0.5</v>
      </c>
      <c r="AI15" s="502">
        <f t="shared" si="5"/>
        <v>0.5</v>
      </c>
      <c r="AJ15" s="502">
        <f t="shared" si="37"/>
        <v>1.5</v>
      </c>
      <c r="AK15" s="598"/>
      <c r="AL15" s="592">
        <f t="shared" si="6"/>
        <v>0.15</v>
      </c>
      <c r="AM15" s="502">
        <f t="shared" si="7"/>
        <v>0.15</v>
      </c>
      <c r="AN15" s="502">
        <f t="shared" si="8"/>
        <v>0.15</v>
      </c>
      <c r="AO15" s="502">
        <f t="shared" si="38"/>
        <v>0.44999999999999996</v>
      </c>
      <c r="AP15" s="598"/>
      <c r="AQ15" s="592">
        <f t="shared" si="9"/>
        <v>0.13799999999999998</v>
      </c>
      <c r="AR15" s="502">
        <f t="shared" si="10"/>
        <v>0.13799999999999998</v>
      </c>
      <c r="AS15" s="502">
        <f t="shared" si="11"/>
        <v>0.13799999999999998</v>
      </c>
      <c r="AT15" s="502">
        <f t="shared" si="39"/>
        <v>0.41399999999999992</v>
      </c>
      <c r="AU15" s="598"/>
      <c r="AV15" s="612"/>
      <c r="AW15" s="592">
        <f t="shared" si="12"/>
        <v>0.126</v>
      </c>
      <c r="AX15" s="502">
        <f t="shared" si="13"/>
        <v>0.126</v>
      </c>
      <c r="AY15" s="502">
        <f t="shared" si="14"/>
        <v>0.126</v>
      </c>
      <c r="AZ15" s="502">
        <f t="shared" si="40"/>
        <v>0.378</v>
      </c>
      <c r="BA15" s="598"/>
      <c r="BB15" s="592">
        <f t="shared" si="15"/>
        <v>0.11399999999999999</v>
      </c>
      <c r="BC15" s="502">
        <f t="shared" si="16"/>
        <v>0.11399999999999999</v>
      </c>
      <c r="BD15" s="502">
        <f t="shared" si="17"/>
        <v>0.11399999999999999</v>
      </c>
      <c r="BE15" s="502">
        <f t="shared" si="41"/>
        <v>0.34199999999999997</v>
      </c>
      <c r="BF15" s="598"/>
      <c r="BG15" s="592">
        <f t="shared" si="18"/>
        <v>0.10199999999999999</v>
      </c>
      <c r="BH15" s="502">
        <f t="shared" si="19"/>
        <v>0.10199999999999999</v>
      </c>
      <c r="BI15" s="502">
        <f t="shared" si="20"/>
        <v>0.10199999999999999</v>
      </c>
      <c r="BJ15" s="502">
        <f t="shared" si="42"/>
        <v>0.30599999999999999</v>
      </c>
      <c r="BK15" s="598"/>
      <c r="BL15" s="592">
        <f t="shared" si="21"/>
        <v>0.09</v>
      </c>
      <c r="BM15" s="502">
        <f t="shared" si="22"/>
        <v>0.09</v>
      </c>
      <c r="BN15" s="502">
        <f t="shared" si="23"/>
        <v>0.09</v>
      </c>
      <c r="BO15" s="502">
        <f t="shared" si="51"/>
        <v>0.27</v>
      </c>
      <c r="BP15" s="598"/>
      <c r="BQ15" s="538"/>
      <c r="BR15" s="592">
        <f t="shared" si="24"/>
        <v>7.7999999999999986E-2</v>
      </c>
      <c r="BS15" s="502">
        <f t="shared" si="25"/>
        <v>7.7999999999999986E-2</v>
      </c>
      <c r="BT15" s="502">
        <f t="shared" si="26"/>
        <v>7.7999999999999986E-2</v>
      </c>
      <c r="BU15" s="502">
        <f t="shared" si="52"/>
        <v>0.23399999999999996</v>
      </c>
      <c r="BV15" s="598"/>
      <c r="BW15" s="592">
        <f t="shared" si="27"/>
        <v>6.5999999999999989E-2</v>
      </c>
      <c r="BX15" s="502">
        <f t="shared" si="28"/>
        <v>6.5999999999999989E-2</v>
      </c>
      <c r="BY15" s="502">
        <f t="shared" si="29"/>
        <v>6.5999999999999989E-2</v>
      </c>
      <c r="BZ15" s="502">
        <f t="shared" si="53"/>
        <v>0.19799999999999995</v>
      </c>
      <c r="CA15" s="598"/>
      <c r="CB15" s="592">
        <f t="shared" si="30"/>
        <v>5.3999999999999992E-2</v>
      </c>
      <c r="CC15" s="502">
        <f t="shared" si="31"/>
        <v>5.3999999999999992E-2</v>
      </c>
      <c r="CD15" s="502">
        <f t="shared" si="32"/>
        <v>5.3999999999999992E-2</v>
      </c>
      <c r="CE15" s="502">
        <f t="shared" si="54"/>
        <v>0.16199999999999998</v>
      </c>
      <c r="CF15" s="598"/>
      <c r="CG15" s="592">
        <f t="shared" si="33"/>
        <v>4.1999999999999996E-2</v>
      </c>
      <c r="CH15" s="502">
        <f t="shared" si="34"/>
        <v>4.1999999999999996E-2</v>
      </c>
      <c r="CI15" s="502">
        <f t="shared" si="35"/>
        <v>4.1999999999999996E-2</v>
      </c>
      <c r="CJ15" s="502">
        <f t="shared" si="55"/>
        <v>0.126</v>
      </c>
      <c r="CK15" s="168"/>
      <c r="CL15" s="153"/>
      <c r="CM15" s="153"/>
      <c r="CN15" s="153"/>
      <c r="CO15" s="153"/>
      <c r="CP15" s="153"/>
      <c r="CQ15" s="153"/>
      <c r="CR15" s="153"/>
      <c r="CS15" s="153"/>
      <c r="CT15" s="153"/>
      <c r="CU15" s="153"/>
      <c r="CV15" s="153"/>
      <c r="CW15" s="153"/>
      <c r="CX15" s="153"/>
      <c r="CY15" s="153"/>
      <c r="CZ15" s="153"/>
      <c r="DA15" s="153"/>
      <c r="DB15" s="153"/>
      <c r="DC15" s="153"/>
      <c r="DD15" s="153"/>
      <c r="DE15" s="153"/>
      <c r="DF15" s="153"/>
      <c r="DG15" s="153"/>
      <c r="DH15" s="153"/>
      <c r="DI15" s="153"/>
      <c r="DJ15" s="153"/>
      <c r="DK15" s="153"/>
      <c r="DL15" s="153"/>
      <c r="DM15" s="153"/>
      <c r="DN15" s="153"/>
      <c r="DO15" s="153"/>
      <c r="DP15" s="153"/>
      <c r="DQ15" s="153"/>
      <c r="DR15" s="153"/>
      <c r="DS15" s="153"/>
      <c r="DT15" s="153"/>
      <c r="DU15" s="153"/>
      <c r="DV15" s="153"/>
      <c r="DW15" s="153"/>
      <c r="DX15" s="153"/>
      <c r="DY15" s="153"/>
      <c r="DZ15" s="153"/>
      <c r="EA15" s="153"/>
      <c r="EB15" s="153"/>
      <c r="EC15" s="153"/>
      <c r="ED15" s="153"/>
      <c r="EE15" s="153"/>
      <c r="EF15" s="153"/>
      <c r="EG15" s="153"/>
      <c r="EH15" s="153"/>
      <c r="EI15" s="153"/>
      <c r="EJ15" s="153"/>
      <c r="EK15" s="153"/>
      <c r="EL15" s="153"/>
      <c r="EM15" s="153"/>
      <c r="EN15" s="153"/>
      <c r="EO15" s="153"/>
      <c r="EP15" s="153"/>
      <c r="EQ15" s="153"/>
      <c r="ER15" s="153"/>
      <c r="ES15" s="153"/>
      <c r="ET15" s="153"/>
      <c r="EU15" s="153"/>
      <c r="EV15" s="153"/>
      <c r="EW15" s="153"/>
      <c r="EX15" s="153"/>
      <c r="EY15" s="153"/>
      <c r="EZ15" s="153"/>
      <c r="FA15" s="153"/>
      <c r="FB15" s="153"/>
      <c r="FC15" s="153"/>
      <c r="FD15" s="153"/>
      <c r="FE15" s="153"/>
      <c r="FF15" s="153"/>
      <c r="FG15" s="153"/>
      <c r="FH15" s="153"/>
      <c r="FI15" s="153"/>
      <c r="FJ15" s="153"/>
      <c r="FK15" s="153"/>
      <c r="FL15" s="153"/>
      <c r="FM15" s="153"/>
      <c r="FN15" s="153"/>
      <c r="FO15" s="153"/>
      <c r="FP15" s="153"/>
      <c r="FQ15" s="153"/>
      <c r="FR15" s="153"/>
      <c r="FS15" s="153"/>
      <c r="FT15" s="153"/>
      <c r="FU15" s="153"/>
      <c r="FV15" s="153"/>
      <c r="FW15" s="153"/>
    </row>
    <row r="16" spans="1:179" s="175" customFormat="1" ht="9.75" customHeight="1" x14ac:dyDescent="0.15">
      <c r="A16" s="473" t="s">
        <v>142</v>
      </c>
      <c r="B16" s="169"/>
      <c r="C16" s="170"/>
      <c r="D16" s="628"/>
      <c r="E16" s="629"/>
      <c r="F16" s="504">
        <f>SUM((F18/Z18)-1)/3</f>
        <v>0.14338090529920011</v>
      </c>
      <c r="G16" s="504">
        <f>SUM((G18/F18)-1)/3</f>
        <v>0.4620828779306933</v>
      </c>
      <c r="H16" s="504">
        <f>SUM((H18/G18)-1)/3</f>
        <v>2.0266928328032612</v>
      </c>
      <c r="I16" s="504">
        <f>SUM((I18/H18)-1)/3</f>
        <v>0.53351599441812247</v>
      </c>
      <c r="J16" s="505" t="s">
        <v>38</v>
      </c>
      <c r="K16" s="502">
        <f>SUM((K18/I18)-1)/3</f>
        <v>0.39216253756716374</v>
      </c>
      <c r="L16" s="502">
        <f>SUM((L18/K18)-1)/3</f>
        <v>0.35040272779529741</v>
      </c>
      <c r="M16" s="502">
        <f>SUM((M18/L18)-1)/3</f>
        <v>0.331793444789729</v>
      </c>
      <c r="N16" s="502">
        <f>SUM((N18/M18)-1)/3</f>
        <v>0.32946600840992285</v>
      </c>
      <c r="O16" s="506">
        <f>SUM(O18/J18)-1</f>
        <v>16.713115359718604</v>
      </c>
      <c r="P16" s="502">
        <f>SUM((P18/N18)-1)/3</f>
        <v>0.32975304903885494</v>
      </c>
      <c r="Q16" s="502">
        <f>SUM((Q18/P18)-1)/3</f>
        <v>0.33154082997764628</v>
      </c>
      <c r="R16" s="502">
        <f>SUM((R18/Q18)-1)/3</f>
        <v>0.34735438217000797</v>
      </c>
      <c r="S16" s="502">
        <f>SUM((S18/R18)-1)/3</f>
        <v>0.3613127987432696</v>
      </c>
      <c r="T16" s="507">
        <f>SUM(T18/O18)-1</f>
        <v>15.885196513092584</v>
      </c>
      <c r="U16" s="538"/>
      <c r="V16" s="642">
        <f>SUM(V18/T18)-1</f>
        <v>2.0620910961595613</v>
      </c>
      <c r="W16" s="506">
        <f>SUM(W18/V18)-1</f>
        <v>1.5139742006278247</v>
      </c>
      <c r="X16" s="643">
        <f>SUM(X18/W18)-1</f>
        <v>0.8508631656282073</v>
      </c>
      <c r="Y16" s="173"/>
      <c r="Z16" s="574">
        <v>0</v>
      </c>
      <c r="AA16" s="613"/>
      <c r="AB16" s="592">
        <f>SUM((AB18/Z18)-1)</f>
        <v>0.34299033333333329</v>
      </c>
      <c r="AC16" s="502">
        <f t="shared" ref="AC16:AD16" si="69">SUM((AC18/AB18)-1)</f>
        <v>5.3631764310788199E-2</v>
      </c>
      <c r="AD16" s="502">
        <f t="shared" si="69"/>
        <v>1.0689227481044838E-2</v>
      </c>
      <c r="AE16" s="502">
        <f t="shared" si="36"/>
        <v>0.40731132512516632</v>
      </c>
      <c r="AF16" s="599"/>
      <c r="AG16" s="592">
        <f>SUM((AG18/AD18)-1)</f>
        <v>0.69164258472438633</v>
      </c>
      <c r="AH16" s="502">
        <f>SUM((AH18/AG18)-1)</f>
        <v>0.2534712693374388</v>
      </c>
      <c r="AI16" s="502">
        <f>SUM((AI18/AH18)-1)</f>
        <v>0.12536317411491193</v>
      </c>
      <c r="AJ16" s="502">
        <f t="shared" si="37"/>
        <v>1.0704770281767371</v>
      </c>
      <c r="AK16" s="599"/>
      <c r="AL16" s="592">
        <f>SUM((AL18/AI18)-1)</f>
        <v>1.6787321047077595</v>
      </c>
      <c r="AM16" s="502">
        <f>SUM((AM18/AL18)-1)</f>
        <v>0.74867207262585223</v>
      </c>
      <c r="AN16" s="502">
        <f>SUM((AN18/AM18)-1)</f>
        <v>0.51147307768361649</v>
      </c>
      <c r="AO16" s="502">
        <f t="shared" si="38"/>
        <v>2.9388772550172284</v>
      </c>
      <c r="AP16" s="599"/>
      <c r="AQ16" s="592">
        <f>SUM((AQ18/AN18)-1)</f>
        <v>0.44733030180031674</v>
      </c>
      <c r="AR16" s="502">
        <f>SUM((AR18/AQ18)-1)</f>
        <v>0.36522069986800143</v>
      </c>
      <c r="AS16" s="502">
        <f>SUM((AS18/AR18)-1)</f>
        <v>0.31611655542929729</v>
      </c>
      <c r="AT16" s="502">
        <f t="shared" si="39"/>
        <v>1.1286675570976155</v>
      </c>
      <c r="AU16" s="599"/>
      <c r="AV16" s="613"/>
      <c r="AW16" s="592">
        <f>SUM((AW18/AS18)-1)</f>
        <v>0.33150790913652672</v>
      </c>
      <c r="AX16" s="502">
        <f>SUM((AX18/AW18)-1)</f>
        <v>0.29204157229932393</v>
      </c>
      <c r="AY16" s="502">
        <f>SUM((AY18/AX18)-1)</f>
        <v>0.26513235199594565</v>
      </c>
      <c r="AZ16" s="502">
        <f t="shared" si="40"/>
        <v>0.8886818334317963</v>
      </c>
      <c r="BA16" s="599"/>
      <c r="BB16" s="592">
        <f>SUM((BB18/AY18)-1)</f>
        <v>0.29930351063627536</v>
      </c>
      <c r="BC16" s="502">
        <f>SUM((BC18/BB18)-1)</f>
        <v>0.26767035404470763</v>
      </c>
      <c r="BD16" s="502">
        <f>SUM((BD18/BC18)-1)</f>
        <v>0.2453539271892109</v>
      </c>
      <c r="BE16" s="502">
        <f t="shared" si="41"/>
        <v>0.81232779187019388</v>
      </c>
      <c r="BF16" s="599"/>
      <c r="BG16" s="592">
        <f>SUM((BG18/BD18)-1)</f>
        <v>0.28638402796748097</v>
      </c>
      <c r="BH16" s="502">
        <f>SUM((BH18/BG18)-1)</f>
        <v>0.25623596566868634</v>
      </c>
      <c r="BI16" s="502">
        <f>SUM((BI18/BH18)-1)</f>
        <v>0.2347636206960062</v>
      </c>
      <c r="BJ16" s="502">
        <f t="shared" si="42"/>
        <v>0.77738361433217351</v>
      </c>
      <c r="BK16" s="599"/>
      <c r="BL16" s="592">
        <f>SUM((BL18/BI18)-1)</f>
        <v>0.28737606097703416</v>
      </c>
      <c r="BM16" s="502">
        <f>SUM((BM18/BL18)-1)</f>
        <v>0.25446349429463333</v>
      </c>
      <c r="BN16" s="502">
        <f>SUM((BN18/BM18)-1)</f>
        <v>0.23123192093680633</v>
      </c>
      <c r="BO16" s="502">
        <f>SUM(BL16:BN16)</f>
        <v>0.77307147620847383</v>
      </c>
      <c r="BP16" s="599"/>
      <c r="BQ16" s="173"/>
      <c r="BR16" s="592">
        <f>SUM((BR18/BN18)-1)</f>
        <v>0.29067937443856806</v>
      </c>
      <c r="BS16" s="502">
        <f>SUM((BS18/BR18)-1)</f>
        <v>0.25424093345991272</v>
      </c>
      <c r="BT16" s="502">
        <f>SUM((BT18/BS18)-1)</f>
        <v>0.22883061695432616</v>
      </c>
      <c r="BU16" s="502">
        <f>SUM(BR16:BT16)</f>
        <v>0.77375092485280694</v>
      </c>
      <c r="BV16" s="599"/>
      <c r="BW16" s="592">
        <f>SUM((BW18/BT18)-1)</f>
        <v>0.29537993605404433</v>
      </c>
      <c r="BX16" s="502">
        <f>SUM((BX18/BW18)-1)</f>
        <v>0.25488630249722299</v>
      </c>
      <c r="BY16" s="502">
        <f>SUM((BY18/BX18)-1)</f>
        <v>0.22704126066333274</v>
      </c>
      <c r="BZ16" s="502">
        <f>SUM(BW16:BY16)</f>
        <v>0.77730749921460007</v>
      </c>
      <c r="CA16" s="599"/>
      <c r="CB16" s="592">
        <f>SUM((CB18/BY18)-1)</f>
        <v>0.31130873223519107</v>
      </c>
      <c r="CC16" s="502">
        <f>SUM((CC18/CB18)-1)</f>
        <v>0.26390520719774546</v>
      </c>
      <c r="CD16" s="502">
        <f>SUM((CD18/CC18)-1)</f>
        <v>0.23211064922183766</v>
      </c>
      <c r="CE16" s="502">
        <f t="shared" si="54"/>
        <v>0.80732458865477419</v>
      </c>
      <c r="CF16" s="599"/>
      <c r="CG16" s="592">
        <f>SUM((CG18/CD18)-1)</f>
        <v>0.32423164932173743</v>
      </c>
      <c r="CH16" s="502">
        <f>SUM((CH18/CG18)-1)</f>
        <v>0.27185400724580289</v>
      </c>
      <c r="CI16" s="502">
        <f>SUM((CI18/CH18)-1)</f>
        <v>0.23732460863075566</v>
      </c>
      <c r="CJ16" s="502">
        <f t="shared" si="55"/>
        <v>0.83341026519829597</v>
      </c>
      <c r="CK16" s="152"/>
      <c r="CL16" s="174"/>
      <c r="CM16" s="174"/>
      <c r="CN16" s="174"/>
      <c r="CO16" s="174"/>
      <c r="CP16" s="174"/>
      <c r="CQ16" s="174"/>
      <c r="CR16" s="174"/>
      <c r="CS16" s="174"/>
      <c r="CT16" s="174"/>
      <c r="CU16" s="174"/>
      <c r="CV16" s="174"/>
      <c r="CW16" s="174"/>
      <c r="CX16" s="174"/>
      <c r="CY16" s="174"/>
      <c r="CZ16" s="174"/>
      <c r="DA16" s="174"/>
      <c r="DB16" s="174"/>
      <c r="DC16" s="174"/>
      <c r="DD16" s="174"/>
      <c r="DE16" s="174"/>
      <c r="DF16" s="174"/>
      <c r="DG16" s="174"/>
      <c r="DH16" s="174"/>
      <c r="DI16" s="174"/>
      <c r="DJ16" s="174"/>
      <c r="DK16" s="174"/>
      <c r="DL16" s="174"/>
      <c r="DM16" s="174"/>
      <c r="DN16" s="174"/>
      <c r="DO16" s="174"/>
      <c r="DP16" s="174"/>
      <c r="DQ16" s="174"/>
      <c r="DR16" s="174"/>
      <c r="DS16" s="174"/>
      <c r="DT16" s="174"/>
      <c r="DU16" s="174"/>
      <c r="DV16" s="174"/>
      <c r="DW16" s="174"/>
      <c r="DX16" s="174"/>
      <c r="DY16" s="174"/>
      <c r="DZ16" s="174"/>
      <c r="EA16" s="174"/>
      <c r="EB16" s="174"/>
      <c r="EC16" s="174"/>
      <c r="ED16" s="174"/>
      <c r="EE16" s="174"/>
      <c r="EF16" s="174"/>
      <c r="EG16" s="174"/>
      <c r="EH16" s="174"/>
      <c r="EI16" s="174"/>
      <c r="EJ16" s="174"/>
      <c r="EK16" s="174"/>
      <c r="EL16" s="174"/>
      <c r="EM16" s="174"/>
      <c r="EN16" s="174"/>
      <c r="EO16" s="174"/>
      <c r="EP16" s="174"/>
      <c r="EQ16" s="174"/>
      <c r="ER16" s="174"/>
      <c r="ES16" s="174"/>
      <c r="ET16" s="174"/>
      <c r="EU16" s="174"/>
      <c r="EV16" s="174"/>
      <c r="EW16" s="174"/>
      <c r="EX16" s="174"/>
      <c r="EY16" s="174"/>
      <c r="EZ16" s="174"/>
      <c r="FA16" s="174"/>
      <c r="FB16" s="174"/>
      <c r="FC16" s="174"/>
      <c r="FD16" s="174"/>
      <c r="FE16" s="174"/>
      <c r="FF16" s="174"/>
      <c r="FG16" s="174"/>
      <c r="FH16" s="174"/>
      <c r="FI16" s="174"/>
      <c r="FJ16" s="174"/>
      <c r="FK16" s="174"/>
      <c r="FL16" s="174"/>
      <c r="FM16" s="174"/>
      <c r="FN16" s="174"/>
      <c r="FO16" s="174"/>
      <c r="FP16" s="174"/>
      <c r="FQ16" s="174"/>
      <c r="FR16" s="174"/>
      <c r="FS16" s="174"/>
      <c r="FT16" s="174"/>
      <c r="FU16" s="174"/>
      <c r="FV16" s="174"/>
      <c r="FW16" s="174"/>
    </row>
    <row r="17" spans="1:179" s="175" customFormat="1" ht="9.75" customHeight="1" x14ac:dyDescent="0.15">
      <c r="A17" s="405" t="s">
        <v>143</v>
      </c>
      <c r="B17" s="176"/>
      <c r="C17" s="177"/>
      <c r="D17" s="634"/>
      <c r="E17" s="635"/>
      <c r="F17" s="423">
        <f>AE17</f>
        <v>645.21407384639997</v>
      </c>
      <c r="G17" s="424">
        <f>AJ17</f>
        <v>2973.800079061115</v>
      </c>
      <c r="H17" s="424">
        <f>AO17</f>
        <v>31124.007884148363</v>
      </c>
      <c r="I17" s="424">
        <f>AT17</f>
        <v>58008.695828453376</v>
      </c>
      <c r="J17" s="180">
        <f>SUM(J18-Z18)</f>
        <v>92751.717865509258</v>
      </c>
      <c r="K17" s="424">
        <f>AZ17</f>
        <v>110885.97854460748</v>
      </c>
      <c r="L17" s="424">
        <f>BE17</f>
        <v>215642.42518724548</v>
      </c>
      <c r="M17" s="424">
        <f>BJ17</f>
        <v>418836.25813148951</v>
      </c>
      <c r="N17" s="424">
        <f>BO17</f>
        <v>829875.17167456448</v>
      </c>
      <c r="O17" s="180">
        <f>SUM(O18-J18)</f>
        <v>1575239.8335379071</v>
      </c>
      <c r="P17" s="424">
        <f>BU17</f>
        <v>1651559.7882596545</v>
      </c>
      <c r="Q17" s="424">
        <f>BZ17</f>
        <v>3303192.3526508054</v>
      </c>
      <c r="R17" s="424">
        <f>CE17</f>
        <v>6902880.2252617758</v>
      </c>
      <c r="S17" s="424">
        <f>CJ17</f>
        <v>14662569.004818842</v>
      </c>
      <c r="T17" s="181">
        <f>SUM(T18-O18)</f>
        <v>26520201.370991074</v>
      </c>
      <c r="U17" s="184"/>
      <c r="V17" s="182">
        <f>SUM((V8+(T18*V14))-(T18*V15))</f>
        <v>58129714.778741896</v>
      </c>
      <c r="W17" s="180">
        <f>SUM((W8+(V18*W14))-(V18*W15))</f>
        <v>130685356.27299528</v>
      </c>
      <c r="X17" s="183">
        <f>SUM((X8+(W18*X14))-(W18*X15))</f>
        <v>184641360.43143156</v>
      </c>
      <c r="Y17" s="184"/>
      <c r="Z17" s="575">
        <v>1500</v>
      </c>
      <c r="AA17" s="614"/>
      <c r="AB17" s="533">
        <f>SUM((AB8+(Z18*AB14))-(Z18*AB15))</f>
        <v>514.4855</v>
      </c>
      <c r="AC17" s="424">
        <f>SUM((AC8+(AB18*AC14))-(AB18*AC15))</f>
        <v>108.04041154349989</v>
      </c>
      <c r="AD17" s="424">
        <f>SUM((AD8+(AC18*AD14))-(AC18*AD15))</f>
        <v>22.688162302900082</v>
      </c>
      <c r="AE17" s="180">
        <f t="shared" si="36"/>
        <v>645.21407384639997</v>
      </c>
      <c r="AF17" s="183"/>
      <c r="AG17" s="533">
        <f>SUM((AG8+(AD18*AG14))-(AD18*AG15))</f>
        <v>1483.7214068222552</v>
      </c>
      <c r="AH17" s="424">
        <f>SUM((AH8+(AG18*AH14))-(AG18*AH15))</f>
        <v>919.83088262875231</v>
      </c>
      <c r="AI17" s="424">
        <f>SUM((AI8+(AH18*AI14))-(AH18*AI15))</f>
        <v>570.24778961010725</v>
      </c>
      <c r="AJ17" s="180">
        <f t="shared" si="37"/>
        <v>2973.800079061115</v>
      </c>
      <c r="AK17" s="183"/>
      <c r="AL17" s="533">
        <f>SUM((AL8+(AI18*AL14))-(AI18*AL15))</f>
        <v>8593.4534029392416</v>
      </c>
      <c r="AM17" s="424">
        <f>SUM((AM8+(AL18*AM14))-(AL18*AM15))</f>
        <v>10266.141505850546</v>
      </c>
      <c r="AN17" s="424">
        <f>SUM((AN8+(AM18*AN14))-(AM18*AN15))</f>
        <v>12264.412975358573</v>
      </c>
      <c r="AO17" s="180">
        <f t="shared" si="38"/>
        <v>31124.007884148363</v>
      </c>
      <c r="AP17" s="183"/>
      <c r="AQ17" s="533">
        <f>SUM((AQ8+(AN18*AQ14))-(AN18*AQ15))</f>
        <v>16212.601985991738</v>
      </c>
      <c r="AR17" s="424">
        <f>SUM((AR8+(AQ18*AR14))-(AQ18*AR15))</f>
        <v>19157.879717710191</v>
      </c>
      <c r="AS17" s="424">
        <f>SUM((AS8+(AR18*AS14))-(AR18*AS15))</f>
        <v>22638.214124751448</v>
      </c>
      <c r="AT17" s="180">
        <f t="shared" si="39"/>
        <v>58008.695828453376</v>
      </c>
      <c r="AU17" s="183"/>
      <c r="AV17" s="614"/>
      <c r="AW17" s="533">
        <f>SUM((AW8+(AS18*AW14))-(AS18*AW15))</f>
        <v>31245.189922120782</v>
      </c>
      <c r="AX17" s="424">
        <f>SUM((AX8+(AW18*AX14))-(AW18*AX15))</f>
        <v>36650.314269002774</v>
      </c>
      <c r="AY17" s="424">
        <f>SUM((AY8+(AX18*AY14))-(AX18*AY15))</f>
        <v>42990.474353483922</v>
      </c>
      <c r="AZ17" s="180">
        <f t="shared" si="40"/>
        <v>110885.97854460748</v>
      </c>
      <c r="BA17" s="183"/>
      <c r="BB17" s="533">
        <f>SUM((BB8+(AY18*BB14))-(AY18*BB15))</f>
        <v>61398.43269938638</v>
      </c>
      <c r="BC17" s="424">
        <f>SUM((BC8+(BB18*BC14))-(BB18*BC15))</f>
        <v>71343.820044446635</v>
      </c>
      <c r="BD17" s="424">
        <f>SUM((BD8+(BC18*BD14))-(BC18*BD15))</f>
        <v>82900.172443412492</v>
      </c>
      <c r="BE17" s="180">
        <f t="shared" si="41"/>
        <v>215642.42518724548</v>
      </c>
      <c r="BF17" s="183"/>
      <c r="BG17" s="533">
        <f>SUM((BG8+(BD18*BG14))-(BD18*BG15))</f>
        <v>120504.70611169899</v>
      </c>
      <c r="BH17" s="424">
        <f>SUM((BH8+(BG18*BH14))-(BG18*BH15))</f>
        <v>138696.64052983979</v>
      </c>
      <c r="BI17" s="424">
        <f>SUM((BI8+(BH18*BI14))-(BH18*BI15))</f>
        <v>159634.9114899507</v>
      </c>
      <c r="BJ17" s="180">
        <f t="shared" si="42"/>
        <v>418836.25813148951</v>
      </c>
      <c r="BK17" s="183"/>
      <c r="BL17" s="533">
        <f>SUM((BL8+(BI18*BL14))-(BI18*BL15))</f>
        <v>241285.64793827507</v>
      </c>
      <c r="BM17" s="424">
        <f>SUM((BM8+(BL18*BM14))-(BL18*BM15))</f>
        <v>275050.10695033142</v>
      </c>
      <c r="BN17" s="424">
        <f>SUM((BN8+(BM18*BN14))-(BM18*BN15))</f>
        <v>313539.41678595799</v>
      </c>
      <c r="BO17" s="180">
        <f>SUM(BL17:BN17)</f>
        <v>829875.17167456448</v>
      </c>
      <c r="BP17" s="183"/>
      <c r="BQ17" s="184"/>
      <c r="BR17" s="533">
        <f>SUM((BR8+(BN18*BR14))-(BN18*BR15))</f>
        <v>485286.75979241973</v>
      </c>
      <c r="BS17" s="424">
        <f>SUM((BS8+(BR18*BS14))-(BR18*BS15))</f>
        <v>547832.84923760372</v>
      </c>
      <c r="BT17" s="424">
        <f>SUM((BT8+(BS18*BT14))-(BS18*BT15))</f>
        <v>618440.17922963109</v>
      </c>
      <c r="BU17" s="180">
        <f>SUM(BR17:BT17)</f>
        <v>1651559.7882596545</v>
      </c>
      <c r="BV17" s="183"/>
      <c r="BW17" s="533">
        <f>SUM((BW8+(BT18*BW14))-(BT18*BW15))</f>
        <v>980971.93234187609</v>
      </c>
      <c r="BX17" s="424">
        <f>SUM((BX8+(BW18*BX14))-(BW18*BX15))</f>
        <v>1096526.8050583464</v>
      </c>
      <c r="BY17" s="424">
        <f>SUM((BY8+(BX18*BY14))-(BX18*BY15))</f>
        <v>1225693.6152505828</v>
      </c>
      <c r="BZ17" s="180">
        <f>SUM(BW17:BY17)</f>
        <v>3303192.3526508054</v>
      </c>
      <c r="CA17" s="183"/>
      <c r="CB17" s="533">
        <f>SUM((CB8+(BY18*CB14))-(BY18*CB15))</f>
        <v>2062184.9058711939</v>
      </c>
      <c r="CC17" s="424">
        <f>SUM((CC8+(CB18*CC14))-(CB18*CC15))</f>
        <v>2292393.7390124518</v>
      </c>
      <c r="CD17" s="424">
        <f>SUM((CD8+(CC18*CD14))-(CC18*CD15))</f>
        <v>2548301.5803781305</v>
      </c>
      <c r="CE17" s="180">
        <f>SUM(CB17:CD17)</f>
        <v>6902880.2252617758</v>
      </c>
      <c r="CF17" s="183"/>
      <c r="CG17" s="533">
        <f>SUM((CG8+(CD18*CG14))-(CD18*CG15))</f>
        <v>4385921.6983750761</v>
      </c>
      <c r="CH17" s="424">
        <f>SUM((CH8+(CG18*CH14))-(CG18*CH15))</f>
        <v>4869733.2326730676</v>
      </c>
      <c r="CI17" s="424">
        <f>SUM((CI8+(CH18*CI14))-(CH18*CI15))</f>
        <v>5406914.0737706991</v>
      </c>
      <c r="CJ17" s="180">
        <f>SUM(CG17:CI17)</f>
        <v>14662569.004818842</v>
      </c>
      <c r="CK17" s="183"/>
      <c r="CL17" s="174"/>
      <c r="CM17" s="174"/>
      <c r="CN17" s="174"/>
      <c r="CO17" s="174"/>
      <c r="CP17" s="174"/>
      <c r="CQ17" s="174"/>
      <c r="CR17" s="174"/>
      <c r="CS17" s="174"/>
      <c r="CT17" s="174"/>
      <c r="CU17" s="174"/>
      <c r="CV17" s="174"/>
      <c r="CW17" s="174"/>
      <c r="CX17" s="174"/>
      <c r="CY17" s="174"/>
      <c r="CZ17" s="174"/>
      <c r="DA17" s="174"/>
      <c r="DB17" s="174"/>
      <c r="DC17" s="174"/>
      <c r="DD17" s="174"/>
      <c r="DE17" s="174"/>
      <c r="DF17" s="174"/>
      <c r="DG17" s="174"/>
      <c r="DH17" s="174"/>
      <c r="DI17" s="174"/>
      <c r="DJ17" s="174"/>
      <c r="DK17" s="174"/>
      <c r="DL17" s="174"/>
      <c r="DM17" s="174"/>
      <c r="DN17" s="174"/>
      <c r="DO17" s="174"/>
      <c r="DP17" s="174"/>
      <c r="DQ17" s="174"/>
      <c r="DR17" s="174"/>
      <c r="DS17" s="174"/>
      <c r="DT17" s="174"/>
      <c r="DU17" s="174"/>
      <c r="DV17" s="174"/>
      <c r="DW17" s="174"/>
      <c r="DX17" s="174"/>
      <c r="DY17" s="174"/>
      <c r="DZ17" s="174"/>
      <c r="EA17" s="174"/>
      <c r="EB17" s="174"/>
      <c r="EC17" s="174"/>
      <c r="ED17" s="174"/>
      <c r="EE17" s="174"/>
      <c r="EF17" s="174"/>
      <c r="EG17" s="174"/>
      <c r="EH17" s="174"/>
      <c r="EI17" s="174"/>
      <c r="EJ17" s="174"/>
      <c r="EK17" s="174"/>
      <c r="EL17" s="174"/>
      <c r="EM17" s="174"/>
      <c r="EN17" s="174"/>
      <c r="EO17" s="174"/>
      <c r="EP17" s="174"/>
      <c r="EQ17" s="174"/>
      <c r="ER17" s="174"/>
      <c r="ES17" s="174"/>
      <c r="ET17" s="174"/>
      <c r="EU17" s="174"/>
      <c r="EV17" s="174"/>
      <c r="EW17" s="174"/>
      <c r="EX17" s="174"/>
      <c r="EY17" s="174"/>
      <c r="EZ17" s="174"/>
      <c r="FA17" s="174"/>
      <c r="FB17" s="174"/>
      <c r="FC17" s="174"/>
      <c r="FD17" s="174"/>
      <c r="FE17" s="174"/>
      <c r="FF17" s="174"/>
      <c r="FG17" s="174"/>
      <c r="FH17" s="174"/>
      <c r="FI17" s="174"/>
      <c r="FJ17" s="174"/>
      <c r="FK17" s="174"/>
      <c r="FL17" s="174"/>
      <c r="FM17" s="174"/>
      <c r="FN17" s="174"/>
      <c r="FO17" s="174"/>
      <c r="FP17" s="174"/>
      <c r="FQ17" s="174"/>
      <c r="FR17" s="174"/>
      <c r="FS17" s="174"/>
      <c r="FT17" s="174"/>
      <c r="FU17" s="174"/>
      <c r="FV17" s="174"/>
      <c r="FW17" s="174"/>
    </row>
    <row r="18" spans="1:179" s="57" customFormat="1" ht="9.75" customHeight="1" x14ac:dyDescent="0.15">
      <c r="A18" s="422" t="s">
        <v>217</v>
      </c>
      <c r="B18" s="185"/>
      <c r="C18" s="186"/>
      <c r="D18" s="636"/>
      <c r="E18" s="637"/>
      <c r="F18" s="423">
        <f>AE18</f>
        <v>2145.2140738464004</v>
      </c>
      <c r="G18" s="424">
        <f>AJ18</f>
        <v>5119.0141529075154</v>
      </c>
      <c r="H18" s="424">
        <f>AO18</f>
        <v>36243.022037055875</v>
      </c>
      <c r="I18" s="424">
        <f>AT18</f>
        <v>94251.717865509258</v>
      </c>
      <c r="J18" s="180">
        <f>AS18</f>
        <v>94251.717865509258</v>
      </c>
      <c r="K18" s="424">
        <f>AZ18</f>
        <v>205137.69641011674</v>
      </c>
      <c r="L18" s="424">
        <f>BE18</f>
        <v>420780.12159736222</v>
      </c>
      <c r="M18" s="424">
        <f>BJ18</f>
        <v>839616.37972885172</v>
      </c>
      <c r="N18" s="424">
        <f>BO18</f>
        <v>1669491.5514034163</v>
      </c>
      <c r="O18" s="180">
        <f>BN18</f>
        <v>1669491.5514034163</v>
      </c>
      <c r="P18" s="424">
        <f>BU18</f>
        <v>3321051.3396630706</v>
      </c>
      <c r="Q18" s="424">
        <f>BZ18</f>
        <v>6624243.692313876</v>
      </c>
      <c r="R18" s="424">
        <f>CE18</f>
        <v>13527123.917575652</v>
      </c>
      <c r="S18" s="424">
        <f>CJ18</f>
        <v>28189692.922394492</v>
      </c>
      <c r="T18" s="181">
        <f>CI18</f>
        <v>28189692.922394492</v>
      </c>
      <c r="U18" s="184"/>
      <c r="V18" s="182">
        <f>SUM(T18+V17)</f>
        <v>86319407.70113638</v>
      </c>
      <c r="W18" s="180">
        <f>SUM(V18+W17)</f>
        <v>217004763.97413164</v>
      </c>
      <c r="X18" s="183">
        <f>SUM(W18+X17)</f>
        <v>401646124.40556324</v>
      </c>
      <c r="Y18" s="184"/>
      <c r="Z18" s="576">
        <v>1500</v>
      </c>
      <c r="AA18" s="614"/>
      <c r="AB18" s="533">
        <f>SUM(Z18+AB17)</f>
        <v>2014.4855</v>
      </c>
      <c r="AC18" s="424">
        <f>SUM(AB18+AC17)</f>
        <v>2122.5259115435001</v>
      </c>
      <c r="AD18" s="424">
        <f>SUM(AC18+AD17)</f>
        <v>2145.2140738464004</v>
      </c>
      <c r="AE18" s="180">
        <f>AD18</f>
        <v>2145.2140738464004</v>
      </c>
      <c r="AF18" s="183"/>
      <c r="AG18" s="533">
        <f>SUM(AD18+AG17)</f>
        <v>3628.9354806686556</v>
      </c>
      <c r="AH18" s="424">
        <f>SUM(AG18+AH17)</f>
        <v>4548.7663632974081</v>
      </c>
      <c r="AI18" s="424">
        <f>SUM(AH18+AI17)</f>
        <v>5119.0141529075154</v>
      </c>
      <c r="AJ18" s="180">
        <f>AI18</f>
        <v>5119.0141529075154</v>
      </c>
      <c r="AK18" s="183"/>
      <c r="AL18" s="533">
        <f>SUM(AI18+AL17)</f>
        <v>13712.467555846757</v>
      </c>
      <c r="AM18" s="424">
        <f>SUM(AL18+AM17)</f>
        <v>23978.609061697302</v>
      </c>
      <c r="AN18" s="424">
        <f>SUM(AM18+AN17)</f>
        <v>36243.022037055875</v>
      </c>
      <c r="AO18" s="180">
        <f>AN18</f>
        <v>36243.022037055875</v>
      </c>
      <c r="AP18" s="183"/>
      <c r="AQ18" s="533">
        <f>SUM(AN18+AQ17)</f>
        <v>52455.624023047611</v>
      </c>
      <c r="AR18" s="424">
        <f>SUM(AQ18+AR17)</f>
        <v>71613.503740757806</v>
      </c>
      <c r="AS18" s="424">
        <f>SUM(AR18+AS17)</f>
        <v>94251.717865509258</v>
      </c>
      <c r="AT18" s="180">
        <f>AS18</f>
        <v>94251.717865509258</v>
      </c>
      <c r="AU18" s="183"/>
      <c r="AV18" s="614"/>
      <c r="AW18" s="533">
        <f>SUM(AS18+AW17)</f>
        <v>125496.90778763004</v>
      </c>
      <c r="AX18" s="424">
        <f>SUM(AW18+AX17)</f>
        <v>162147.2220566328</v>
      </c>
      <c r="AY18" s="424">
        <f>SUM(AX18+AY17)</f>
        <v>205137.69641011674</v>
      </c>
      <c r="AZ18" s="180">
        <f>AY18</f>
        <v>205137.69641011674</v>
      </c>
      <c r="BA18" s="183"/>
      <c r="BB18" s="533">
        <f>SUM(AY18+BB17)</f>
        <v>266536.12910950312</v>
      </c>
      <c r="BC18" s="424">
        <f>SUM(BB18+BC17)</f>
        <v>337879.94915394974</v>
      </c>
      <c r="BD18" s="424">
        <f>SUM(BC18+BD17)</f>
        <v>420780.12159736222</v>
      </c>
      <c r="BE18" s="180">
        <f>BD18</f>
        <v>420780.12159736222</v>
      </c>
      <c r="BF18" s="183"/>
      <c r="BG18" s="533">
        <f>SUM(BD18+BG17)</f>
        <v>541284.82770906121</v>
      </c>
      <c r="BH18" s="424">
        <f>SUM(BG18+BH17)</f>
        <v>679981.468238901</v>
      </c>
      <c r="BI18" s="424">
        <f>SUM(BH18+BI17)</f>
        <v>839616.37972885172</v>
      </c>
      <c r="BJ18" s="180">
        <f>BI18</f>
        <v>839616.37972885172</v>
      </c>
      <c r="BK18" s="183"/>
      <c r="BL18" s="533">
        <f>SUM(BI18+BL17)</f>
        <v>1080902.0276671269</v>
      </c>
      <c r="BM18" s="424">
        <f>SUM(BL18+BM17)</f>
        <v>1355952.1346174583</v>
      </c>
      <c r="BN18" s="424">
        <f>SUM(BM18+BN17)</f>
        <v>1669491.5514034163</v>
      </c>
      <c r="BO18" s="180">
        <f>BN18</f>
        <v>1669491.5514034163</v>
      </c>
      <c r="BP18" s="183"/>
      <c r="BQ18" s="184"/>
      <c r="BR18" s="533">
        <f>SUM(BO18+BR17)</f>
        <v>2154778.3111958359</v>
      </c>
      <c r="BS18" s="424">
        <f>SUM(BR18+BS17)</f>
        <v>2702611.1604334395</v>
      </c>
      <c r="BT18" s="424">
        <f>SUM(BS18+BT17)</f>
        <v>3321051.3396630706</v>
      </c>
      <c r="BU18" s="180">
        <f>BT18</f>
        <v>3321051.3396630706</v>
      </c>
      <c r="BV18" s="183"/>
      <c r="BW18" s="533">
        <f>SUM(BT18+BW17)</f>
        <v>4302023.2720049471</v>
      </c>
      <c r="BX18" s="424">
        <f>SUM(BW18+BX17)</f>
        <v>5398550.0770632932</v>
      </c>
      <c r="BY18" s="424">
        <f>SUM(BX18+BY17)</f>
        <v>6624243.692313876</v>
      </c>
      <c r="BZ18" s="180">
        <f>BY18</f>
        <v>6624243.692313876</v>
      </c>
      <c r="CA18" s="183"/>
      <c r="CB18" s="533">
        <f>SUM(BY18+CB17)</f>
        <v>8686428.5981850699</v>
      </c>
      <c r="CC18" s="424">
        <f>SUM(CB18+CC17)</f>
        <v>10978822.337197522</v>
      </c>
      <c r="CD18" s="424">
        <f>SUM(CC18+CD17)</f>
        <v>13527123.917575652</v>
      </c>
      <c r="CE18" s="180">
        <f>CD18</f>
        <v>13527123.917575652</v>
      </c>
      <c r="CF18" s="183"/>
      <c r="CG18" s="533">
        <f>SUM(CD18+CG17)</f>
        <v>17913045.615950726</v>
      </c>
      <c r="CH18" s="424">
        <f>SUM(CG18+CH17)</f>
        <v>22782778.848623794</v>
      </c>
      <c r="CI18" s="424">
        <f>SUM(CH18+CI17)</f>
        <v>28189692.922394492</v>
      </c>
      <c r="CJ18" s="180">
        <f>CI18</f>
        <v>28189692.922394492</v>
      </c>
      <c r="CK18" s="183"/>
      <c r="CL18" s="55"/>
      <c r="CM18" s="55"/>
      <c r="CN18" s="55"/>
      <c r="CO18" s="55"/>
      <c r="CP18" s="55"/>
      <c r="CQ18" s="55"/>
      <c r="CR18" s="55"/>
      <c r="CS18" s="55"/>
      <c r="CT18" s="55"/>
      <c r="CU18" s="55"/>
      <c r="CV18" s="55"/>
      <c r="CW18" s="55"/>
      <c r="CX18" s="55"/>
      <c r="CY18" s="55"/>
      <c r="CZ18" s="55"/>
      <c r="DA18" s="55"/>
      <c r="DB18" s="55"/>
      <c r="DC18" s="55"/>
      <c r="DD18" s="55"/>
      <c r="DE18" s="55"/>
      <c r="DF18" s="55"/>
      <c r="DG18" s="55"/>
      <c r="DH18" s="55"/>
      <c r="DI18" s="55"/>
      <c r="DJ18" s="55"/>
      <c r="DK18" s="55"/>
      <c r="DL18" s="55"/>
      <c r="DM18" s="55"/>
      <c r="DN18" s="55"/>
      <c r="DO18" s="55"/>
      <c r="DP18" s="55"/>
      <c r="DQ18" s="55"/>
      <c r="DR18" s="55"/>
      <c r="DS18" s="55"/>
      <c r="DT18" s="55"/>
      <c r="DU18" s="55"/>
      <c r="DV18" s="55"/>
      <c r="DW18" s="55"/>
      <c r="DX18" s="55"/>
      <c r="DY18" s="55"/>
      <c r="DZ18" s="55"/>
      <c r="EA18" s="55"/>
      <c r="EB18" s="55"/>
      <c r="EC18" s="55"/>
      <c r="ED18" s="55"/>
      <c r="EE18" s="55"/>
      <c r="EF18" s="55"/>
      <c r="EG18" s="55"/>
      <c r="EH18" s="55"/>
      <c r="EI18" s="55"/>
      <c r="EJ18" s="55"/>
      <c r="EK18" s="55"/>
      <c r="EL18" s="55"/>
      <c r="EM18" s="55"/>
      <c r="EN18" s="55"/>
      <c r="EO18" s="55"/>
      <c r="EP18" s="55"/>
      <c r="EQ18" s="55"/>
      <c r="ER18" s="55"/>
      <c r="ES18" s="55"/>
      <c r="ET18" s="55"/>
      <c r="EU18" s="55"/>
      <c r="EV18" s="55"/>
      <c r="EW18" s="55"/>
      <c r="EX18" s="55"/>
      <c r="EY18" s="55"/>
      <c r="EZ18" s="55"/>
      <c r="FA18" s="55"/>
      <c r="FB18" s="55"/>
      <c r="FC18" s="55"/>
      <c r="FD18" s="55"/>
      <c r="FE18" s="55"/>
      <c r="FF18" s="55"/>
      <c r="FG18" s="55"/>
      <c r="FH18" s="55"/>
      <c r="FI18" s="55"/>
      <c r="FJ18" s="55"/>
      <c r="FK18" s="55"/>
      <c r="FL18" s="55"/>
      <c r="FM18" s="55"/>
      <c r="FN18" s="55"/>
      <c r="FO18" s="55"/>
      <c r="FP18" s="55"/>
      <c r="FQ18" s="55"/>
      <c r="FR18" s="55"/>
      <c r="FS18" s="55"/>
      <c r="FT18" s="55"/>
      <c r="FU18" s="55"/>
      <c r="FV18" s="55"/>
      <c r="FW18" s="55"/>
    </row>
    <row r="19" spans="1:179" s="55" customFormat="1" ht="4.5" customHeight="1" x14ac:dyDescent="0.15">
      <c r="A19" s="189"/>
      <c r="B19" s="190"/>
      <c r="C19" s="191"/>
      <c r="D19" s="192"/>
      <c r="E19" s="193"/>
      <c r="F19" s="194"/>
      <c r="G19" s="195"/>
      <c r="H19" s="195"/>
      <c r="I19" s="195"/>
      <c r="J19" s="196"/>
      <c r="K19" s="195"/>
      <c r="L19" s="195"/>
      <c r="M19" s="195"/>
      <c r="N19" s="195"/>
      <c r="O19" s="196"/>
      <c r="P19" s="195"/>
      <c r="Q19" s="195"/>
      <c r="R19" s="195"/>
      <c r="S19" s="195"/>
      <c r="T19" s="197"/>
      <c r="U19" s="199"/>
      <c r="V19" s="190"/>
      <c r="W19" s="195"/>
      <c r="X19" s="198"/>
      <c r="Y19" s="199"/>
      <c r="Z19" s="564"/>
      <c r="AA19" s="615"/>
      <c r="AB19" s="593"/>
      <c r="AC19" s="200"/>
      <c r="AD19" s="200"/>
      <c r="AE19" s="200"/>
      <c r="AF19" s="201"/>
      <c r="AG19" s="593"/>
      <c r="AH19" s="200"/>
      <c r="AI19" s="200"/>
      <c r="AJ19" s="200"/>
      <c r="AK19" s="201"/>
      <c r="AL19" s="593"/>
      <c r="AM19" s="200"/>
      <c r="AN19" s="200"/>
      <c r="AO19" s="200"/>
      <c r="AP19" s="201"/>
      <c r="AQ19" s="593"/>
      <c r="AR19" s="200"/>
      <c r="AS19" s="200"/>
      <c r="AT19" s="200"/>
      <c r="AU19" s="201"/>
      <c r="AV19" s="615"/>
      <c r="AW19" s="593"/>
      <c r="AX19" s="200"/>
      <c r="AY19" s="200"/>
      <c r="AZ19" s="200"/>
      <c r="BA19" s="201"/>
      <c r="BB19" s="593"/>
      <c r="BC19" s="200"/>
      <c r="BD19" s="200"/>
      <c r="BE19" s="200"/>
      <c r="BF19" s="201"/>
      <c r="BG19" s="593"/>
      <c r="BH19" s="200"/>
      <c r="BI19" s="200"/>
      <c r="BJ19" s="200"/>
      <c r="BK19" s="201"/>
      <c r="BL19" s="593"/>
      <c r="BM19" s="200"/>
      <c r="BN19" s="200"/>
      <c r="BO19" s="200"/>
      <c r="BP19" s="201"/>
      <c r="BQ19" s="199"/>
      <c r="BR19" s="593"/>
      <c r="BS19" s="200"/>
      <c r="BT19" s="200"/>
      <c r="BU19" s="200"/>
      <c r="BV19" s="201"/>
      <c r="BW19" s="593"/>
      <c r="BX19" s="200"/>
      <c r="BY19" s="200"/>
      <c r="BZ19" s="200"/>
      <c r="CA19" s="201"/>
      <c r="CB19" s="593"/>
      <c r="CC19" s="200"/>
      <c r="CD19" s="200"/>
      <c r="CE19" s="200"/>
      <c r="CF19" s="201"/>
      <c r="CG19" s="593"/>
      <c r="CH19" s="200"/>
      <c r="CI19" s="200"/>
      <c r="CJ19" s="200"/>
      <c r="CK19" s="201"/>
    </row>
    <row r="20" spans="1:179" s="57" customFormat="1" ht="9.75" customHeight="1" x14ac:dyDescent="0.15">
      <c r="A20" s="486" t="s">
        <v>218</v>
      </c>
      <c r="B20" s="125"/>
      <c r="C20" s="202"/>
      <c r="D20" s="630"/>
      <c r="E20" s="631"/>
      <c r="F20" s="497"/>
      <c r="G20" s="496"/>
      <c r="H20" s="496"/>
      <c r="I20" s="496"/>
      <c r="J20" s="205"/>
      <c r="K20" s="496"/>
      <c r="L20" s="496"/>
      <c r="M20" s="496"/>
      <c r="N20" s="496"/>
      <c r="O20" s="205"/>
      <c r="P20" s="496"/>
      <c r="Q20" s="496"/>
      <c r="R20" s="496"/>
      <c r="S20" s="496"/>
      <c r="T20" s="206"/>
      <c r="U20" s="209"/>
      <c r="V20" s="207"/>
      <c r="W20" s="205"/>
      <c r="X20" s="208"/>
      <c r="Y20" s="209"/>
      <c r="Z20" s="577"/>
      <c r="AA20" s="616"/>
      <c r="AB20" s="594"/>
      <c r="AC20" s="490"/>
      <c r="AD20" s="490"/>
      <c r="AE20" s="490"/>
      <c r="AF20" s="212"/>
      <c r="AG20" s="594"/>
      <c r="AH20" s="490"/>
      <c r="AI20" s="490"/>
      <c r="AJ20" s="490"/>
      <c r="AK20" s="212"/>
      <c r="AL20" s="594"/>
      <c r="AM20" s="490"/>
      <c r="AN20" s="490"/>
      <c r="AO20" s="490"/>
      <c r="AP20" s="212"/>
      <c r="AQ20" s="594"/>
      <c r="AR20" s="490"/>
      <c r="AS20" s="490"/>
      <c r="AT20" s="490"/>
      <c r="AU20" s="212"/>
      <c r="AV20" s="616"/>
      <c r="AW20" s="594"/>
      <c r="AX20" s="490"/>
      <c r="AY20" s="490"/>
      <c r="AZ20" s="490"/>
      <c r="BA20" s="212"/>
      <c r="BB20" s="594"/>
      <c r="BC20" s="490"/>
      <c r="BD20" s="490"/>
      <c r="BE20" s="490"/>
      <c r="BF20" s="212"/>
      <c r="BG20" s="594"/>
      <c r="BH20" s="490"/>
      <c r="BI20" s="490"/>
      <c r="BJ20" s="490"/>
      <c r="BK20" s="212"/>
      <c r="BL20" s="594"/>
      <c r="BM20" s="490"/>
      <c r="BN20" s="490"/>
      <c r="BO20" s="490"/>
      <c r="BP20" s="212"/>
      <c r="BQ20" s="209"/>
      <c r="BR20" s="594"/>
      <c r="BS20" s="490"/>
      <c r="BT20" s="490"/>
      <c r="BU20" s="490"/>
      <c r="BV20" s="212"/>
      <c r="BW20" s="594"/>
      <c r="BX20" s="490"/>
      <c r="BY20" s="490"/>
      <c r="BZ20" s="490"/>
      <c r="CA20" s="212"/>
      <c r="CB20" s="594"/>
      <c r="CC20" s="490"/>
      <c r="CD20" s="490"/>
      <c r="CE20" s="490"/>
      <c r="CF20" s="212"/>
      <c r="CG20" s="594"/>
      <c r="CH20" s="490"/>
      <c r="CI20" s="490"/>
      <c r="CJ20" s="490"/>
      <c r="CK20" s="212"/>
      <c r="CL20" s="55"/>
      <c r="CM20" s="55"/>
      <c r="CN20" s="55"/>
      <c r="CO20" s="55"/>
      <c r="CP20" s="55"/>
      <c r="CQ20" s="55"/>
      <c r="CR20" s="55"/>
      <c r="CS20" s="55"/>
      <c r="CT20" s="55"/>
      <c r="CU20" s="55"/>
      <c r="CV20" s="55"/>
      <c r="CW20" s="55"/>
      <c r="CX20" s="55"/>
      <c r="CY20" s="55"/>
      <c r="CZ20" s="55"/>
      <c r="DA20" s="55"/>
      <c r="DB20" s="55"/>
      <c r="DC20" s="55"/>
      <c r="DD20" s="55"/>
      <c r="DE20" s="55"/>
      <c r="DF20" s="55"/>
      <c r="DG20" s="55"/>
      <c r="DH20" s="55"/>
      <c r="DI20" s="55"/>
      <c r="DJ20" s="55"/>
      <c r="DK20" s="55"/>
      <c r="DL20" s="55"/>
      <c r="DM20" s="55"/>
      <c r="DN20" s="55"/>
      <c r="DO20" s="55"/>
      <c r="DP20" s="55"/>
      <c r="DQ20" s="55"/>
      <c r="DR20" s="55"/>
      <c r="DS20" s="55"/>
      <c r="DT20" s="55"/>
      <c r="DU20" s="55"/>
      <c r="DV20" s="55"/>
      <c r="DW20" s="55"/>
      <c r="DX20" s="55"/>
      <c r="DY20" s="55"/>
      <c r="DZ20" s="55"/>
      <c r="EA20" s="55"/>
      <c r="EB20" s="55"/>
      <c r="EC20" s="55"/>
      <c r="ED20" s="55"/>
      <c r="EE20" s="55"/>
      <c r="EF20" s="55"/>
      <c r="EG20" s="55"/>
      <c r="EH20" s="55"/>
      <c r="EI20" s="55"/>
      <c r="EJ20" s="55"/>
      <c r="EK20" s="55"/>
      <c r="EL20" s="55"/>
      <c r="EM20" s="55"/>
      <c r="EN20" s="55"/>
      <c r="EO20" s="55"/>
      <c r="EP20" s="55"/>
      <c r="EQ20" s="55"/>
      <c r="ER20" s="55"/>
      <c r="ES20" s="55"/>
      <c r="ET20" s="55"/>
      <c r="EU20" s="55"/>
      <c r="EV20" s="55"/>
      <c r="EW20" s="55"/>
      <c r="EX20" s="55"/>
      <c r="EY20" s="55"/>
      <c r="EZ20" s="55"/>
      <c r="FA20" s="55"/>
      <c r="FB20" s="55"/>
      <c r="FC20" s="55"/>
      <c r="FD20" s="55"/>
      <c r="FE20" s="55"/>
      <c r="FF20" s="55"/>
      <c r="FG20" s="55"/>
      <c r="FH20" s="55"/>
      <c r="FI20" s="55"/>
      <c r="FJ20" s="55"/>
      <c r="FK20" s="55"/>
      <c r="FL20" s="55"/>
      <c r="FM20" s="55"/>
      <c r="FN20" s="55"/>
      <c r="FO20" s="55"/>
      <c r="FP20" s="55"/>
      <c r="FQ20" s="55"/>
      <c r="FR20" s="55"/>
      <c r="FS20" s="55"/>
      <c r="FT20" s="55"/>
      <c r="FU20" s="55"/>
      <c r="FV20" s="55"/>
      <c r="FW20" s="55"/>
    </row>
    <row r="21" spans="1:179" s="57" customFormat="1" ht="9.75" customHeight="1" x14ac:dyDescent="0.15">
      <c r="A21" s="468" t="s">
        <v>144</v>
      </c>
      <c r="B21" s="300">
        <v>0.5</v>
      </c>
      <c r="C21" s="214">
        <v>7.0000000000000007E-2</v>
      </c>
      <c r="D21" s="224"/>
      <c r="E21" s="225"/>
      <c r="F21" s="215">
        <v>0</v>
      </c>
      <c r="G21" s="216">
        <v>0</v>
      </c>
      <c r="H21" s="493">
        <f>SUM(IF(ISBLANK(D21),B21,D21))</f>
        <v>0.5</v>
      </c>
      <c r="I21" s="493">
        <f>SUM(IF((1*(IF(ISBLANK(E21),C21,E21)))+IF(ISBLANK(D21),B21,D21) &lt; 0, 0, (1*(IF(ISBLANK(E21),C21,E21)))+IF(ISBLANK(D21),B21,D21)))</f>
        <v>0.57000000000000006</v>
      </c>
      <c r="J21" s="217">
        <f>SUM(AE21+AJ21+AO21+AT21)</f>
        <v>161409.93133600935</v>
      </c>
      <c r="K21" s="493">
        <f>SUM(IF((2*(IF(ISBLANK(E21),C21,E21)))+IF(ISBLANK(D21),B21,D21) &lt; 0, 0, (2*(IF(ISBLANK(E21),C21,E21)))+IF(ISBLANK(D21),B21,D21)))</f>
        <v>0.64</v>
      </c>
      <c r="L21" s="493">
        <f>SUM(IF((3*(IF(ISBLANK(E21),C21,E21)))+IF(ISBLANK(D21),B21,D21) &lt; 0, 0, (3*(IF(ISBLANK(E21),C21,E21)))+IF(ISBLANK(D21),B21,D21)))</f>
        <v>0.71</v>
      </c>
      <c r="M21" s="493">
        <f>SUM(IF((4*(IF(ISBLANK(E21),C21,E21)))+IF(ISBLANK(D21),B21,D21) &lt; 0, 0, (4*(IF(ISBLANK(E21),C21,E21)))+IF(ISBLANK(D21),B21,D21)))</f>
        <v>0.78</v>
      </c>
      <c r="N21" s="493">
        <f>SUM(IF((5*(IF(ISBLANK(E21),C21,E21)))+IF(ISBLANK(D21),B21,D21) &lt; 0, 0, (5*(IF(ISBLANK(E21),C21,E21)))+IF(ISBLANK(D21),B21,D21)))</f>
        <v>0.85000000000000009</v>
      </c>
      <c r="O21" s="217">
        <f>SUM(AZ21+BE21+BJ21+BO21)</f>
        <v>6141152.0143666975</v>
      </c>
      <c r="P21" s="493">
        <f>SUM(IF((6*(IF(ISBLANK(E21),C21,E21)))+IF(ISBLANK(D21),B21,D21) &lt; 0, 0, (6*(IF(ISBLANK(E21),C21,E21)))+IF(ISBLANK(D21),B21,D21)))</f>
        <v>0.92</v>
      </c>
      <c r="Q21" s="493">
        <f>SUM(IF((7*(IF(ISBLANK(E21),C21,E21)))+IF(ISBLANK(D21),B21,D21) &lt; 0, 0, (7*(IF(ISBLANK(E21),C21,E21)))+IF(ISBLANK(D21),B21,D21)))</f>
        <v>0.99</v>
      </c>
      <c r="R21" s="493">
        <f>SUM(IF((8*(IF(ISBLANK(E21),C21,E21)))+IF(ISBLANK(D21),B21,D21) &lt; 0, 0, (8*(IF(ISBLANK(E21),C21,E21)))+IF(ISBLANK(D21),B21,D21)))</f>
        <v>1.06</v>
      </c>
      <c r="S21" s="493">
        <f>SUM(IF((9*(IF(ISBLANK(E21),C21,E21)))+IF(ISBLANK(D21),B21,D21) &lt; 0, 0, (9*(IF(ISBLANK(E21),C21,E21)))+IF(ISBLANK(D21),B21,D21)))</f>
        <v>1.1300000000000001</v>
      </c>
      <c r="T21" s="218">
        <f>SUM(BU21+BZ21+CE21+CJ21)</f>
        <v>136710286.408768</v>
      </c>
      <c r="U21" s="247"/>
      <c r="V21" s="213">
        <f>SUM(IF((11*(IF(ISBLANK(E21),C21,E21)))+IF(ISBLANK(D21),B21,D21) &lt; 0, 0, (11*(IF(ISBLANK(E21),C21,E21)))+IF(ISBLANK(D21),B21,D21)))*12</f>
        <v>15.24</v>
      </c>
      <c r="W21" s="219">
        <f>SUM(IF((13*(IF(ISBLANK(E21),C21,E21)))+IF(ISBLANK(D21),B21,D21) &lt; 0, 0, (13*(IF(ISBLANK(E21),C21,E21)))+IF(ISBLANK(D21),B21,D21)))*12</f>
        <v>16.920000000000002</v>
      </c>
      <c r="X21" s="220">
        <f>SUM(IF((15*(IF(ISBLANK(E21),C21,E21)))+IF(ISBLANK(D21),B21,D21) &lt; 0, 0, (15*(IF(ISBLANK(E21),C21,E21)))+IF(ISBLANK(D21),B21,D21)))*12</f>
        <v>18.600000000000001</v>
      </c>
      <c r="Y21" s="221"/>
      <c r="Z21" s="578">
        <v>0</v>
      </c>
      <c r="AA21" s="617"/>
      <c r="AB21" s="532">
        <f>SUM(AB18*F21)</f>
        <v>0</v>
      </c>
      <c r="AC21" s="492">
        <f>SUM(AC18*F21)</f>
        <v>0</v>
      </c>
      <c r="AD21" s="492">
        <f>SUM(AD18*F21)</f>
        <v>0</v>
      </c>
      <c r="AE21" s="492">
        <f t="shared" ref="AE21:AE29" si="70">SUM(AB21:AD21)</f>
        <v>0</v>
      </c>
      <c r="AF21" s="222"/>
      <c r="AG21" s="532">
        <f>SUM(AG18*G21)</f>
        <v>0</v>
      </c>
      <c r="AH21" s="492">
        <f>SUM(AH18*G21)</f>
        <v>0</v>
      </c>
      <c r="AI21" s="492">
        <f>SUM(AI18*G21)</f>
        <v>0</v>
      </c>
      <c r="AJ21" s="492">
        <f t="shared" ref="AJ21:AJ29" si="71">SUM(AG21:AI21)</f>
        <v>0</v>
      </c>
      <c r="AK21" s="222"/>
      <c r="AL21" s="532">
        <f t="shared" ref="AL21:AL28" si="72">SUM(AL18*H21)</f>
        <v>6856.2337779233785</v>
      </c>
      <c r="AM21" s="492">
        <f t="shared" ref="AM21:AM28" si="73">SUM(AM18*H21)</f>
        <v>11989.304530848651</v>
      </c>
      <c r="AN21" s="492">
        <f t="shared" ref="AN21:AN28" si="74">SUM(AN18*H21)</f>
        <v>18121.511018527937</v>
      </c>
      <c r="AO21" s="492">
        <f t="shared" ref="AO21:AO29" si="75">SUM(AL21:AN21)</f>
        <v>36967.049327299967</v>
      </c>
      <c r="AP21" s="222"/>
      <c r="AQ21" s="532">
        <f>SUM(AQ18*I21)</f>
        <v>29899.705693137141</v>
      </c>
      <c r="AR21" s="492">
        <f>SUM(AR18*I21)</f>
        <v>40819.697132231951</v>
      </c>
      <c r="AS21" s="492">
        <f>SUM(AS18*I21)</f>
        <v>53723.479183340285</v>
      </c>
      <c r="AT21" s="492">
        <f t="shared" ref="AT21:AT29" si="76">SUM(AQ21:AS21)</f>
        <v>124442.88200870938</v>
      </c>
      <c r="AU21" s="222"/>
      <c r="AV21" s="617"/>
      <c r="AW21" s="532">
        <f>SUM(AW18*K21)</f>
        <v>80318.020984083225</v>
      </c>
      <c r="AX21" s="492">
        <f>SUM(AX18*K21)</f>
        <v>103774.222116245</v>
      </c>
      <c r="AY21" s="492">
        <f>SUM(AY18*K21)</f>
        <v>131288.1257024747</v>
      </c>
      <c r="AZ21" s="492">
        <f t="shared" ref="AZ21:AZ29" si="77">SUM(AW21:AY21)</f>
        <v>315380.36880280293</v>
      </c>
      <c r="BA21" s="222"/>
      <c r="BB21" s="532">
        <f>SUM(BB18*L21)</f>
        <v>189240.65166774721</v>
      </c>
      <c r="BC21" s="492">
        <f>SUM(BC18*L21)</f>
        <v>239894.76389930429</v>
      </c>
      <c r="BD21" s="492">
        <f>SUM(BD18*L21)</f>
        <v>298753.88633412716</v>
      </c>
      <c r="BE21" s="492">
        <f t="shared" ref="BE21:BE29" si="78">SUM(BB21:BD21)</f>
        <v>727889.30190117867</v>
      </c>
      <c r="BF21" s="222"/>
      <c r="BG21" s="532">
        <f>SUM(BG18*M21)</f>
        <v>422202.16561306774</v>
      </c>
      <c r="BH21" s="492">
        <f>SUM(BH18*M21)</f>
        <v>530385.54522634274</v>
      </c>
      <c r="BI21" s="492">
        <f>SUM(BI18*M21)</f>
        <v>654900.77618850442</v>
      </c>
      <c r="BJ21" s="492">
        <f t="shared" ref="BJ21:BJ29" si="79">SUM(BG21:BI21)</f>
        <v>1607488.487027915</v>
      </c>
      <c r="BK21" s="222"/>
      <c r="BL21" s="532">
        <f>SUM(BL18*N21)</f>
        <v>918766.72351705795</v>
      </c>
      <c r="BM21" s="492">
        <f>SUM(BM18*N21)</f>
        <v>1152559.3144248398</v>
      </c>
      <c r="BN21" s="492">
        <f>SUM(BN18*N21)</f>
        <v>1419067.818692904</v>
      </c>
      <c r="BO21" s="492">
        <f t="shared" ref="BO21:BO29" si="80">SUM(BL21:BN21)</f>
        <v>3490393.8566348017</v>
      </c>
      <c r="BP21" s="222"/>
      <c r="BQ21" s="221"/>
      <c r="BR21" s="532">
        <f>SUM(BR18*P21)</f>
        <v>1982396.0463001691</v>
      </c>
      <c r="BS21" s="492">
        <f>SUM(BS18*P21)</f>
        <v>2486402.2675987645</v>
      </c>
      <c r="BT21" s="492">
        <f>SUM(BT18*P21)</f>
        <v>3055367.232490025</v>
      </c>
      <c r="BU21" s="492">
        <f t="shared" ref="BU21:BU29" si="81">SUM(BR21:BT21)</f>
        <v>7524165.5463889595</v>
      </c>
      <c r="BV21" s="222"/>
      <c r="BW21" s="532">
        <f>SUM(BW18*Q21)</f>
        <v>4259003.039284898</v>
      </c>
      <c r="BX21" s="492">
        <f>SUM(BX18*Q21)</f>
        <v>5344564.5762926601</v>
      </c>
      <c r="BY21" s="492">
        <f>SUM(BY18*Q21)</f>
        <v>6558001.2553907372</v>
      </c>
      <c r="BZ21" s="492">
        <f t="shared" ref="BZ21:BZ29" si="82">SUM(BW21:BY21)</f>
        <v>16161568.870968295</v>
      </c>
      <c r="CA21" s="222"/>
      <c r="CB21" s="532">
        <f>SUM(CB18*R21)</f>
        <v>9207614.3140761741</v>
      </c>
      <c r="CC21" s="492">
        <f>SUM(CC18*R21)</f>
        <v>11637551.677429374</v>
      </c>
      <c r="CD21" s="492">
        <f>SUM(CD18*R21)</f>
        <v>14338751.352630192</v>
      </c>
      <c r="CE21" s="492">
        <f t="shared" ref="CE21:CE29" si="83">SUM(CB21:CD21)</f>
        <v>35183917.344135739</v>
      </c>
      <c r="CF21" s="222"/>
      <c r="CG21" s="532">
        <f>SUM(CG18*S21)</f>
        <v>20241741.546024323</v>
      </c>
      <c r="CH21" s="492">
        <f>SUM(CH18*S21)</f>
        <v>25744540.098944888</v>
      </c>
      <c r="CI21" s="492">
        <f>SUM(CI18*S21)</f>
        <v>31854353.00230578</v>
      </c>
      <c r="CJ21" s="492">
        <f t="shared" ref="CJ21:CJ29" si="84">SUM(CG21:CI21)</f>
        <v>77840634.647274986</v>
      </c>
      <c r="CK21" s="222"/>
      <c r="CL21" s="55"/>
      <c r="CM21" s="55"/>
      <c r="CN21" s="55"/>
      <c r="CO21" s="55"/>
      <c r="CP21" s="55"/>
      <c r="CQ21" s="55"/>
      <c r="CR21" s="55"/>
      <c r="CS21" s="55"/>
      <c r="CT21" s="55"/>
      <c r="CU21" s="55"/>
      <c r="CV21" s="55"/>
      <c r="CW21" s="55"/>
      <c r="CX21" s="55"/>
      <c r="CY21" s="55"/>
      <c r="CZ21" s="55"/>
      <c r="DA21" s="55"/>
      <c r="DB21" s="55"/>
      <c r="DC21" s="55"/>
      <c r="DD21" s="55"/>
      <c r="DE21" s="55"/>
      <c r="DF21" s="55"/>
      <c r="DG21" s="55"/>
      <c r="DH21" s="55"/>
      <c r="DI21" s="55"/>
      <c r="DJ21" s="55"/>
      <c r="DK21" s="55"/>
      <c r="DL21" s="55"/>
      <c r="DM21" s="55"/>
      <c r="DN21" s="55"/>
      <c r="DO21" s="55"/>
      <c r="DP21" s="55"/>
      <c r="DQ21" s="55"/>
      <c r="DR21" s="55"/>
      <c r="DS21" s="55"/>
      <c r="DT21" s="55"/>
      <c r="DU21" s="55"/>
      <c r="DV21" s="55"/>
      <c r="DW21" s="55"/>
      <c r="DX21" s="55"/>
      <c r="DY21" s="55"/>
      <c r="DZ21" s="55"/>
      <c r="EA21" s="55"/>
      <c r="EB21" s="55"/>
      <c r="EC21" s="55"/>
      <c r="ED21" s="55"/>
      <c r="EE21" s="55"/>
      <c r="EF21" s="55"/>
      <c r="EG21" s="55"/>
      <c r="EH21" s="55"/>
      <c r="EI21" s="55"/>
      <c r="EJ21" s="55"/>
      <c r="EK21" s="55"/>
      <c r="EL21" s="55"/>
      <c r="EM21" s="55"/>
      <c r="EN21" s="55"/>
      <c r="EO21" s="55"/>
      <c r="EP21" s="55"/>
      <c r="EQ21" s="55"/>
      <c r="ER21" s="55"/>
      <c r="ES21" s="55"/>
      <c r="ET21" s="55"/>
      <c r="EU21" s="55"/>
      <c r="EV21" s="55"/>
      <c r="EW21" s="55"/>
      <c r="EX21" s="55"/>
      <c r="EY21" s="55"/>
      <c r="EZ21" s="55"/>
      <c r="FA21" s="55"/>
      <c r="FB21" s="55"/>
      <c r="FC21" s="55"/>
      <c r="FD21" s="55"/>
      <c r="FE21" s="55"/>
      <c r="FF21" s="55"/>
      <c r="FG21" s="55"/>
      <c r="FH21" s="55"/>
      <c r="FI21" s="55"/>
      <c r="FJ21" s="55"/>
      <c r="FK21" s="55"/>
      <c r="FL21" s="55"/>
      <c r="FM21" s="55"/>
      <c r="FN21" s="55"/>
      <c r="FO21" s="55"/>
      <c r="FP21" s="55"/>
      <c r="FQ21" s="55"/>
      <c r="FR21" s="55"/>
      <c r="FS21" s="55"/>
      <c r="FT21" s="55"/>
      <c r="FU21" s="55"/>
      <c r="FV21" s="55"/>
      <c r="FW21" s="55"/>
    </row>
    <row r="22" spans="1:179" s="57" customFormat="1" ht="9.75" customHeight="1" x14ac:dyDescent="0.15">
      <c r="A22" s="468" t="s">
        <v>145</v>
      </c>
      <c r="B22" s="300">
        <v>0.3</v>
      </c>
      <c r="C22" s="214">
        <v>7.0000000000000007E-2</v>
      </c>
      <c r="D22" s="224"/>
      <c r="E22" s="225"/>
      <c r="F22" s="215">
        <v>0</v>
      </c>
      <c r="G22" s="216">
        <v>0</v>
      </c>
      <c r="H22" s="493">
        <f t="shared" ref="H22" si="85">SUM(IF(ISBLANK(D22),B22,D22))</f>
        <v>0.3</v>
      </c>
      <c r="I22" s="493">
        <f t="shared" ref="I22" si="86">SUM(IF((1*(IF(ISBLANK(E22),C22,E22)))+IF(ISBLANK(D22),B22,D22) &lt; 0, 0, (1*(IF(ISBLANK(E22),C22,E22)))+IF(ISBLANK(D22),B22,D22)))</f>
        <v>0.37</v>
      </c>
      <c r="J22" s="217">
        <f>SUM(AE22+AJ22+AO22+AT22)</f>
        <v>80778.712882846419</v>
      </c>
      <c r="K22" s="493">
        <f t="shared" ref="K22" si="87">SUM(IF((2*(IF(ISBLANK(E22),C22,E22)))+IF(ISBLANK(D22),B22,D22) &lt; 0, 0, (2*(IF(ISBLANK(E22),C22,E22)))+IF(ISBLANK(D22),B22,D22)))</f>
        <v>0.44</v>
      </c>
      <c r="L22" s="493">
        <f t="shared" ref="L22" si="88">SUM(IF((3*(IF(ISBLANK(E22),C22,E22)))+IF(ISBLANK(D22),B22,D22) &lt; 0, 0, (3*(IF(ISBLANK(E22),C22,E22)))+IF(ISBLANK(D22),B22,D22)))</f>
        <v>0.51</v>
      </c>
      <c r="M22" s="493">
        <f t="shared" ref="M22" si="89">SUM(IF((4*(IF(ISBLANK(E22),C22,E22)))+IF(ISBLANK(D22),B22,D22) &lt; 0, 0, (4*(IF(ISBLANK(E22),C22,E22)))+IF(ISBLANK(D22),B22,D22)))</f>
        <v>0.58000000000000007</v>
      </c>
      <c r="N22" s="493">
        <f t="shared" ref="N22" si="90">SUM(IF((5*(IF(ISBLANK(E22),C22,E22)))+IF(ISBLANK(D22),B22,D22) &lt; 0, 0, (5*(IF(ISBLANK(E22),C22,E22)))+IF(ISBLANK(D22),B22,D22)))</f>
        <v>0.65</v>
      </c>
      <c r="O22" s="217">
        <f t="shared" ref="O22:O29" si="91">SUM(AZ22+BE22+BJ22+BO22)</f>
        <v>4604110.731270696</v>
      </c>
      <c r="P22" s="493">
        <f t="shared" ref="P22" si="92">SUM(IF((6*(IF(ISBLANK(E22),C22,E22)))+IF(ISBLANK(D22),B22,D22) &lt; 0, 0, (6*(IF(ISBLANK(E22),C22,E22)))+IF(ISBLANK(D22),B22,D22)))</f>
        <v>0.72</v>
      </c>
      <c r="Q22" s="493">
        <f t="shared" ref="Q22" si="93">SUM(IF((7*(IF(ISBLANK(E22),C22,E22)))+IF(ISBLANK(D22),B22,D22) &lt; 0, 0, (7*(IF(ISBLANK(E22),C22,E22)))+IF(ISBLANK(D22),B22,D22)))</f>
        <v>0.79</v>
      </c>
      <c r="R22" s="493">
        <f t="shared" ref="R22" si="94">SUM(IF((8*(IF(ISBLANK(E22),C22,E22)))+IF(ISBLANK(D22),B22,D22) &lt; 0, 0, (8*(IF(ISBLANK(E22),C22,E22)))+IF(ISBLANK(D22),B22,D22)))</f>
        <v>0.8600000000000001</v>
      </c>
      <c r="S22" s="493">
        <f t="shared" ref="S22" si="95">SUM(IF((9*(IF(ISBLANK(E22),C22,E22)))+IF(ISBLANK(D22),B22,D22) &lt; 0, 0, (9*(IF(ISBLANK(E22),C22,E22)))+IF(ISBLANK(D22),B22,D22)))</f>
        <v>0.93000000000000016</v>
      </c>
      <c r="T22" s="218">
        <f t="shared" ref="T22:T29" si="96">SUM(BU22+BZ22+CE22+CJ22)</f>
        <v>111394056.39024764</v>
      </c>
      <c r="U22" s="247"/>
      <c r="V22" s="213">
        <f>SUM(IF((11*(IF(ISBLANK(E22),C22,E22)))+IF(ISBLANK(D22),B22,D22) &lt; 0, 0, (11*(IF(ISBLANK(E22),C22,E22)))+IF(ISBLANK(D22),B22,D22)))*12</f>
        <v>12.84</v>
      </c>
      <c r="W22" s="219">
        <f>SUM(IF((13*(IF(ISBLANK(E22),C22,E22)))+IF(ISBLANK(D22),B22,D22) &lt; 0, 0, (13*(IF(ISBLANK(E22),C22,E22)))+IF(ISBLANK(D22),B22,D22)))*12</f>
        <v>14.520000000000003</v>
      </c>
      <c r="X22" s="220">
        <f>SUM(IF((15*(IF(ISBLANK(E22),C22,E22)))+IF(ISBLANK(D22),B22,D22) &lt; 0, 0, (15*(IF(ISBLANK(E22),C22,E22)))+IF(ISBLANK(D22),B22,D22)))*12</f>
        <v>16.200000000000003</v>
      </c>
      <c r="Y22" s="221"/>
      <c r="Z22" s="578">
        <v>0</v>
      </c>
      <c r="AA22" s="617"/>
      <c r="AB22" s="532">
        <f>SUM(AB18*F22)</f>
        <v>0</v>
      </c>
      <c r="AC22" s="492">
        <f>SUM(AC18*F22)</f>
        <v>0</v>
      </c>
      <c r="AD22" s="492">
        <f>SUM(AD18*F22)</f>
        <v>0</v>
      </c>
      <c r="AE22" s="492">
        <f t="shared" si="70"/>
        <v>0</v>
      </c>
      <c r="AF22" s="222"/>
      <c r="AG22" s="532">
        <f>SUM(AG18*G22)</f>
        <v>0</v>
      </c>
      <c r="AH22" s="492">
        <f>SUM(AH18*G22)</f>
        <v>0</v>
      </c>
      <c r="AI22" s="492">
        <f>SUM(AI18*G22)</f>
        <v>0</v>
      </c>
      <c r="AJ22" s="492">
        <f t="shared" si="71"/>
        <v>0</v>
      </c>
      <c r="AK22" s="222"/>
      <c r="AL22" s="532">
        <f t="shared" si="72"/>
        <v>0</v>
      </c>
      <c r="AM22" s="492">
        <f t="shared" si="73"/>
        <v>0</v>
      </c>
      <c r="AN22" s="492">
        <f t="shared" si="74"/>
        <v>0</v>
      </c>
      <c r="AO22" s="492">
        <f t="shared" si="75"/>
        <v>0</v>
      </c>
      <c r="AP22" s="222"/>
      <c r="AQ22" s="532">
        <f>SUM(AQ18*I22)</f>
        <v>19408.580888527616</v>
      </c>
      <c r="AR22" s="492">
        <f>SUM(AR18*I22)</f>
        <v>26496.996384080387</v>
      </c>
      <c r="AS22" s="492">
        <f>SUM(AS18*I22)</f>
        <v>34873.135610238423</v>
      </c>
      <c r="AT22" s="492">
        <f t="shared" si="76"/>
        <v>80778.712882846419</v>
      </c>
      <c r="AU22" s="222"/>
      <c r="AV22" s="617"/>
      <c r="AW22" s="532">
        <f>SUM(AW18*K22)</f>
        <v>55218.639426557216</v>
      </c>
      <c r="AX22" s="492">
        <f>SUM(AX18*K22)</f>
        <v>71344.777704918437</v>
      </c>
      <c r="AY22" s="492">
        <f>SUM(AY18*K22)</f>
        <v>90260.586420451364</v>
      </c>
      <c r="AZ22" s="492">
        <f t="shared" si="77"/>
        <v>216824.00355192702</v>
      </c>
      <c r="BA22" s="222"/>
      <c r="BB22" s="532">
        <f>SUM(BB18*L22)</f>
        <v>135933.42584584659</v>
      </c>
      <c r="BC22" s="492">
        <f>SUM(BC18*L22)</f>
        <v>172318.77406851438</v>
      </c>
      <c r="BD22" s="492">
        <f>SUM(BD18*L22)</f>
        <v>214597.86201465473</v>
      </c>
      <c r="BE22" s="492">
        <f t="shared" si="78"/>
        <v>522850.06192901573</v>
      </c>
      <c r="BF22" s="222"/>
      <c r="BG22" s="532">
        <f>SUM(BG18*M22)</f>
        <v>313945.20007125556</v>
      </c>
      <c r="BH22" s="492">
        <f>SUM(BH18*M22)</f>
        <v>394389.2515785626</v>
      </c>
      <c r="BI22" s="492">
        <f>SUM(BI18*M22)</f>
        <v>486977.50024273404</v>
      </c>
      <c r="BJ22" s="492">
        <f t="shared" si="79"/>
        <v>1195311.9518925522</v>
      </c>
      <c r="BK22" s="222"/>
      <c r="BL22" s="532">
        <f>SUM(BL18*N22)</f>
        <v>702586.31798363244</v>
      </c>
      <c r="BM22" s="492">
        <f>SUM(BM18*N22)</f>
        <v>881368.88750134793</v>
      </c>
      <c r="BN22" s="492">
        <f>SUM(BN18*N22)</f>
        <v>1085169.5084122207</v>
      </c>
      <c r="BO22" s="492">
        <f t="shared" si="80"/>
        <v>2669124.7138972012</v>
      </c>
      <c r="BP22" s="222"/>
      <c r="BQ22" s="221"/>
      <c r="BR22" s="532">
        <f>SUM(BR18*P22)</f>
        <v>1551440.3840610017</v>
      </c>
      <c r="BS22" s="492">
        <f>SUM(BS18*P22)</f>
        <v>1945880.0355120765</v>
      </c>
      <c r="BT22" s="492">
        <f>SUM(BT18*P22)</f>
        <v>2391156.9645574107</v>
      </c>
      <c r="BU22" s="492">
        <f t="shared" si="81"/>
        <v>5888477.3841304891</v>
      </c>
      <c r="BV22" s="222"/>
      <c r="BW22" s="532">
        <f>SUM(BW18*Q22)</f>
        <v>3398598.3848839086</v>
      </c>
      <c r="BX22" s="492">
        <f>SUM(BX18*Q22)</f>
        <v>4264854.5608800016</v>
      </c>
      <c r="BY22" s="492">
        <f>SUM(BY18*Q22)</f>
        <v>5233152.5169279622</v>
      </c>
      <c r="BZ22" s="492">
        <f t="shared" si="82"/>
        <v>12896605.462691873</v>
      </c>
      <c r="CA22" s="222"/>
      <c r="CB22" s="532">
        <f>SUM(CB18*R22)</f>
        <v>7470328.594439161</v>
      </c>
      <c r="CC22" s="492">
        <f>SUM(CC18*R22)</f>
        <v>9441787.20998987</v>
      </c>
      <c r="CD22" s="492">
        <f>SUM(CD18*R22)</f>
        <v>11633326.569115061</v>
      </c>
      <c r="CE22" s="492">
        <f t="shared" si="83"/>
        <v>28545442.373544093</v>
      </c>
      <c r="CF22" s="222"/>
      <c r="CG22" s="532">
        <f>SUM(CG18*S22)</f>
        <v>16659132.422834178</v>
      </c>
      <c r="CH22" s="492">
        <f>SUM(CH18*S22)</f>
        <v>21187984.329220131</v>
      </c>
      <c r="CI22" s="492">
        <f>SUM(CI18*S22)</f>
        <v>26216414.417826883</v>
      </c>
      <c r="CJ22" s="492">
        <f t="shared" si="84"/>
        <v>64063531.169881195</v>
      </c>
      <c r="CK22" s="222"/>
      <c r="CL22" s="55"/>
      <c r="CM22" s="55"/>
      <c r="CN22" s="55"/>
      <c r="CO22" s="55"/>
      <c r="CP22" s="55"/>
      <c r="CQ22" s="55"/>
      <c r="CR22" s="55"/>
      <c r="CS22" s="55"/>
      <c r="CT22" s="55"/>
      <c r="CU22" s="55"/>
      <c r="CV22" s="55"/>
      <c r="CW22" s="55"/>
      <c r="CX22" s="55"/>
      <c r="CY22" s="55"/>
      <c r="CZ22" s="55"/>
      <c r="DA22" s="55"/>
      <c r="DB22" s="55"/>
      <c r="DC22" s="55"/>
      <c r="DD22" s="55"/>
      <c r="DE22" s="55"/>
      <c r="DF22" s="55"/>
      <c r="DG22" s="55"/>
      <c r="DH22" s="55"/>
      <c r="DI22" s="55"/>
      <c r="DJ22" s="55"/>
      <c r="DK22" s="55"/>
      <c r="DL22" s="55"/>
      <c r="DM22" s="55"/>
      <c r="DN22" s="55"/>
      <c r="DO22" s="55"/>
      <c r="DP22" s="55"/>
      <c r="DQ22" s="55"/>
      <c r="DR22" s="55"/>
      <c r="DS22" s="55"/>
      <c r="DT22" s="55"/>
      <c r="DU22" s="55"/>
      <c r="DV22" s="55"/>
      <c r="DW22" s="55"/>
      <c r="DX22" s="55"/>
      <c r="DY22" s="55"/>
      <c r="DZ22" s="55"/>
      <c r="EA22" s="55"/>
      <c r="EB22" s="55"/>
      <c r="EC22" s="55"/>
      <c r="ED22" s="55"/>
      <c r="EE22" s="55"/>
      <c r="EF22" s="55"/>
      <c r="EG22" s="55"/>
      <c r="EH22" s="55"/>
      <c r="EI22" s="55"/>
      <c r="EJ22" s="55"/>
      <c r="EK22" s="55"/>
      <c r="EL22" s="55"/>
      <c r="EM22" s="55"/>
      <c r="EN22" s="55"/>
      <c r="EO22" s="55"/>
      <c r="EP22" s="55"/>
      <c r="EQ22" s="55"/>
      <c r="ER22" s="55"/>
      <c r="ES22" s="55"/>
      <c r="ET22" s="55"/>
      <c r="EU22" s="55"/>
      <c r="EV22" s="55"/>
      <c r="EW22" s="55"/>
      <c r="EX22" s="55"/>
      <c r="EY22" s="55"/>
      <c r="EZ22" s="55"/>
      <c r="FA22" s="55"/>
      <c r="FB22" s="55"/>
      <c r="FC22" s="55"/>
      <c r="FD22" s="55"/>
      <c r="FE22" s="55"/>
      <c r="FF22" s="55"/>
      <c r="FG22" s="55"/>
      <c r="FH22" s="55"/>
      <c r="FI22" s="55"/>
      <c r="FJ22" s="55"/>
      <c r="FK22" s="55"/>
      <c r="FL22" s="55"/>
      <c r="FM22" s="55"/>
      <c r="FN22" s="55"/>
      <c r="FO22" s="55"/>
      <c r="FP22" s="55"/>
      <c r="FQ22" s="55"/>
      <c r="FR22" s="55"/>
      <c r="FS22" s="55"/>
      <c r="FT22" s="55"/>
      <c r="FU22" s="55"/>
      <c r="FV22" s="55"/>
      <c r="FW22" s="55"/>
    </row>
    <row r="23" spans="1:179" s="57" customFormat="1" ht="9.75" customHeight="1" x14ac:dyDescent="0.15">
      <c r="A23" s="468" t="s">
        <v>146</v>
      </c>
      <c r="B23" s="300">
        <v>0.1</v>
      </c>
      <c r="C23" s="214">
        <v>7.0000000000000007E-2</v>
      </c>
      <c r="D23" s="224"/>
      <c r="E23" s="225"/>
      <c r="F23" s="215">
        <v>0</v>
      </c>
      <c r="G23" s="216">
        <v>0</v>
      </c>
      <c r="H23" s="223">
        <v>0</v>
      </c>
      <c r="I23" s="223">
        <v>0</v>
      </c>
      <c r="J23" s="217">
        <f t="shared" ref="J23:J29" si="97">SUM(AE23+AJ23+AO23+AT23)</f>
        <v>0</v>
      </c>
      <c r="K23" s="493">
        <f>SUM(IF((0*(IF(ISBLANK(E23),C23,E23)))+IF(ISBLANK(D23),B23,D23) &lt; 0, 0, (0*(IF(ISBLANK(E23),C23,E23)))+IF(ISBLANK(D23),B23,D23)))</f>
        <v>0.1</v>
      </c>
      <c r="L23" s="493">
        <f>SUM(IF((1*(IF(ISBLANK(E23),C23,E23)))+IF(ISBLANK(D23),B23,D23) &lt; 0, 0, (1*(IF(ISBLANK(E23),C23,E23)))+IF(ISBLANK(D23),B23,D23)))</f>
        <v>0.17</v>
      </c>
      <c r="M23" s="493">
        <f>SUM(IF((2*(IF(ISBLANK(E23),C23,E23)))+IF(ISBLANK(D23),B23,D23) &lt; 0, 0, (2*(IF(ISBLANK(E23),C23,E23)))+IF(ISBLANK(D23),B23,D23)))</f>
        <v>0.24000000000000002</v>
      </c>
      <c r="N23" s="493">
        <f>SUM(IF((3*(IF(ISBLANK(E23),C23,E23)))+IF(ISBLANK(D23),B23,D23) &lt; 0, 0, (3*(IF(ISBLANK(E23),C23,E23)))+IF(ISBLANK(D23),B23,D23)))</f>
        <v>0.31000000000000005</v>
      </c>
      <c r="O23" s="217">
        <f t="shared" si="91"/>
        <v>1991140.5500074925</v>
      </c>
      <c r="P23" s="493">
        <f>SUM(IF((4*(IF(ISBLANK(E23),C23,E23)))+IF(ISBLANK(D23),B23,D23) &lt; 0, 0, (4*(IF(ISBLANK(E23),C23,E23)))+IF(ISBLANK(D23),B23,D23)))</f>
        <v>0.38</v>
      </c>
      <c r="Q23" s="493">
        <f>SUM(IF((5*(IF(ISBLANK(E23),C23,E23)))+IF(ISBLANK(D23),B23,D23) &lt; 0, 0, (5*(IF(ISBLANK(E23),C23,E23)))+IF(ISBLANK(D23),B23,D23)))</f>
        <v>0.45000000000000007</v>
      </c>
      <c r="R23" s="493">
        <f>SUM(IF((6*(IF(ISBLANK(E23),C23,E23)))+IF(ISBLANK(D23),B23,D23) &lt; 0, 0, (6*(IF(ISBLANK(E23),C23,E23)))+IF(ISBLANK(D23),B23,D23)))</f>
        <v>0.52</v>
      </c>
      <c r="S23" s="493">
        <f>SUM(IF((7*(IF(ISBLANK(E23),C23,E23)))+IF(ISBLANK(D23),B23,D23) &lt; 0, 0, (7*(IF(ISBLANK(E23),C23,E23)))+IF(ISBLANK(D23),B23,D23)))</f>
        <v>0.59000000000000008</v>
      </c>
      <c r="T23" s="218">
        <f t="shared" si="96"/>
        <v>68356465.358763054</v>
      </c>
      <c r="U23" s="247"/>
      <c r="V23" s="213">
        <f>SUM(IF((9*(IF(ISBLANK(E23),C23,E23)))+IF(ISBLANK(D23),B23,D23) &lt; 0, 0, (9*(IF(ISBLANK(E23),C23,E23)))+IF(ISBLANK(D23),B23,D23)))*12</f>
        <v>8.7600000000000016</v>
      </c>
      <c r="W23" s="219">
        <f>SUM(IF((11*(IF(ISBLANK(E23),C23,E23)))+IF(ISBLANK(D23),B23,D23) &lt; 0, 0, (11*(IF(ISBLANK(E23),C23,E23)))+IF(ISBLANK(D23),B23,D23)))*12</f>
        <v>10.44</v>
      </c>
      <c r="X23" s="220">
        <f>SUM(IF((13*(IF(ISBLANK(E23),C23,E23)))+IF(ISBLANK(D23),B23,D23) &lt; 0, 0, (13*(IF(ISBLANK(E23),C23,E23)))+IF(ISBLANK(D23),B23,D23)))*12</f>
        <v>12.120000000000003</v>
      </c>
      <c r="Y23" s="221"/>
      <c r="Z23" s="578">
        <v>0</v>
      </c>
      <c r="AA23" s="617"/>
      <c r="AB23" s="532">
        <f>SUM(AB18*F23)</f>
        <v>0</v>
      </c>
      <c r="AC23" s="492">
        <f>SUM(AC18*F23)</f>
        <v>0</v>
      </c>
      <c r="AD23" s="492">
        <f>SUM(AD18*F23)</f>
        <v>0</v>
      </c>
      <c r="AE23" s="492">
        <f t="shared" si="70"/>
        <v>0</v>
      </c>
      <c r="AF23" s="222"/>
      <c r="AG23" s="532">
        <f>SUM(AG18*G23)</f>
        <v>0</v>
      </c>
      <c r="AH23" s="492">
        <f>SUM(AH18*G23)</f>
        <v>0</v>
      </c>
      <c r="AI23" s="492">
        <f>SUM(AI18*G23)</f>
        <v>0</v>
      </c>
      <c r="AJ23" s="492">
        <f t="shared" si="71"/>
        <v>0</v>
      </c>
      <c r="AK23" s="222"/>
      <c r="AL23" s="532">
        <f t="shared" si="72"/>
        <v>0</v>
      </c>
      <c r="AM23" s="492">
        <f t="shared" si="73"/>
        <v>0</v>
      </c>
      <c r="AN23" s="492">
        <f t="shared" si="74"/>
        <v>0</v>
      </c>
      <c r="AO23" s="492">
        <f t="shared" si="75"/>
        <v>0</v>
      </c>
      <c r="AP23" s="222"/>
      <c r="AQ23" s="532">
        <f>SUM(AQ18*I23)</f>
        <v>0</v>
      </c>
      <c r="AR23" s="492">
        <f>SUM(AR18*I23)</f>
        <v>0</v>
      </c>
      <c r="AS23" s="492">
        <f>SUM(AS18*I23)</f>
        <v>0</v>
      </c>
      <c r="AT23" s="492">
        <f t="shared" si="76"/>
        <v>0</v>
      </c>
      <c r="AU23" s="222"/>
      <c r="AV23" s="617"/>
      <c r="AW23" s="532">
        <f>SUM(AW18*K23)</f>
        <v>12549.690778763004</v>
      </c>
      <c r="AX23" s="492">
        <f>SUM(AX18*K23)</f>
        <v>16214.722205663282</v>
      </c>
      <c r="AY23" s="492">
        <f>SUM(AY18*K23)</f>
        <v>20513.769641011677</v>
      </c>
      <c r="AZ23" s="492">
        <f t="shared" si="77"/>
        <v>49278.182625437963</v>
      </c>
      <c r="BA23" s="222"/>
      <c r="BB23" s="532">
        <f>SUM(BB18*L23)</f>
        <v>45311.141948615536</v>
      </c>
      <c r="BC23" s="492">
        <f>SUM(BC18*L23)</f>
        <v>57439.591356171462</v>
      </c>
      <c r="BD23" s="492">
        <f>SUM(BD18*L23)</f>
        <v>71532.620671551587</v>
      </c>
      <c r="BE23" s="492">
        <f t="shared" si="78"/>
        <v>174283.35397633858</v>
      </c>
      <c r="BF23" s="222"/>
      <c r="BG23" s="532">
        <f>SUM(BG18*M23)</f>
        <v>129908.3586501747</v>
      </c>
      <c r="BH23" s="492">
        <f>SUM(BH18*M23)</f>
        <v>163195.55237733625</v>
      </c>
      <c r="BI23" s="492">
        <f>SUM(BI18*M23)</f>
        <v>201507.93113492444</v>
      </c>
      <c r="BJ23" s="492">
        <f t="shared" si="79"/>
        <v>494611.84216243541</v>
      </c>
      <c r="BK23" s="222"/>
      <c r="BL23" s="532">
        <f>SUM(BL18*N23)</f>
        <v>335079.62857680937</v>
      </c>
      <c r="BM23" s="492">
        <f>SUM(BM18*N23)</f>
        <v>420345.16173141217</v>
      </c>
      <c r="BN23" s="492">
        <f>SUM(BN18*N23)</f>
        <v>517542.38093505916</v>
      </c>
      <c r="BO23" s="492">
        <f t="shared" si="80"/>
        <v>1272967.1712432806</v>
      </c>
      <c r="BP23" s="222"/>
      <c r="BQ23" s="221"/>
      <c r="BR23" s="532">
        <f>SUM(BR18*P23)</f>
        <v>818815.75825441768</v>
      </c>
      <c r="BS23" s="492">
        <f>SUM(BS18*P23)</f>
        <v>1026992.240964707</v>
      </c>
      <c r="BT23" s="492">
        <f>SUM(BT18*P23)</f>
        <v>1261999.5090719669</v>
      </c>
      <c r="BU23" s="492">
        <f t="shared" si="81"/>
        <v>3107807.5082910918</v>
      </c>
      <c r="BV23" s="222"/>
      <c r="BW23" s="532">
        <f>SUM(BW18*Q23)</f>
        <v>1935910.4724022264</v>
      </c>
      <c r="BX23" s="492">
        <f>SUM(BX18*Q23)</f>
        <v>2429347.5346784825</v>
      </c>
      <c r="BY23" s="492">
        <f>SUM(BY18*Q23)</f>
        <v>2980909.6615412445</v>
      </c>
      <c r="BZ23" s="492">
        <f t="shared" si="82"/>
        <v>7346167.6686219536</v>
      </c>
      <c r="CA23" s="222"/>
      <c r="CB23" s="532">
        <f>SUM(CB18*R23)</f>
        <v>4516942.8710562363</v>
      </c>
      <c r="CC23" s="492">
        <f>SUM(CC18*R23)</f>
        <v>5708987.6153427111</v>
      </c>
      <c r="CD23" s="492">
        <f>SUM(CD18*R23)</f>
        <v>7034104.4371393388</v>
      </c>
      <c r="CE23" s="492">
        <f t="shared" si="83"/>
        <v>17260034.923538286</v>
      </c>
      <c r="CF23" s="222"/>
      <c r="CG23" s="532">
        <f>SUM(CG18*S23)</f>
        <v>10568696.91341093</v>
      </c>
      <c r="CH23" s="492">
        <f>SUM(CH18*S23)</f>
        <v>13441839.52068804</v>
      </c>
      <c r="CI23" s="492">
        <f>SUM(CI18*S23)</f>
        <v>16631918.824212752</v>
      </c>
      <c r="CJ23" s="492">
        <f t="shared" si="84"/>
        <v>40642455.258311719</v>
      </c>
      <c r="CK23" s="222"/>
      <c r="CL23" s="55"/>
      <c r="CM23" s="55"/>
      <c r="CN23" s="55"/>
      <c r="CO23" s="55"/>
      <c r="CP23" s="55"/>
      <c r="CQ23" s="55"/>
      <c r="CR23" s="55"/>
      <c r="CS23" s="55"/>
      <c r="CT23" s="55"/>
      <c r="CU23" s="55"/>
      <c r="CV23" s="55"/>
      <c r="CW23" s="55"/>
      <c r="CX23" s="55"/>
      <c r="CY23" s="55"/>
      <c r="CZ23" s="55"/>
      <c r="DA23" s="55"/>
      <c r="DB23" s="55"/>
      <c r="DC23" s="55"/>
      <c r="DD23" s="55"/>
      <c r="DE23" s="55"/>
      <c r="DF23" s="55"/>
      <c r="DG23" s="55"/>
      <c r="DH23" s="55"/>
      <c r="DI23" s="55"/>
      <c r="DJ23" s="55"/>
      <c r="DK23" s="55"/>
      <c r="DL23" s="55"/>
      <c r="DM23" s="55"/>
      <c r="DN23" s="55"/>
      <c r="DO23" s="55"/>
      <c r="DP23" s="55"/>
      <c r="DQ23" s="55"/>
      <c r="DR23" s="55"/>
      <c r="DS23" s="55"/>
      <c r="DT23" s="55"/>
      <c r="DU23" s="55"/>
      <c r="DV23" s="55"/>
      <c r="DW23" s="55"/>
      <c r="DX23" s="55"/>
      <c r="DY23" s="55"/>
      <c r="DZ23" s="55"/>
      <c r="EA23" s="55"/>
      <c r="EB23" s="55"/>
      <c r="EC23" s="55"/>
      <c r="ED23" s="55"/>
      <c r="EE23" s="55"/>
      <c r="EF23" s="55"/>
      <c r="EG23" s="55"/>
      <c r="EH23" s="55"/>
      <c r="EI23" s="55"/>
      <c r="EJ23" s="55"/>
      <c r="EK23" s="55"/>
      <c r="EL23" s="55"/>
      <c r="EM23" s="55"/>
      <c r="EN23" s="55"/>
      <c r="EO23" s="55"/>
      <c r="EP23" s="55"/>
      <c r="EQ23" s="55"/>
      <c r="ER23" s="55"/>
      <c r="ES23" s="55"/>
      <c r="ET23" s="55"/>
      <c r="EU23" s="55"/>
      <c r="EV23" s="55"/>
      <c r="EW23" s="55"/>
      <c r="EX23" s="55"/>
      <c r="EY23" s="55"/>
      <c r="EZ23" s="55"/>
      <c r="FA23" s="55"/>
      <c r="FB23" s="55"/>
      <c r="FC23" s="55"/>
      <c r="FD23" s="55"/>
      <c r="FE23" s="55"/>
      <c r="FF23" s="55"/>
      <c r="FG23" s="55"/>
      <c r="FH23" s="55"/>
      <c r="FI23" s="55"/>
      <c r="FJ23" s="55"/>
      <c r="FK23" s="55"/>
      <c r="FL23" s="55"/>
      <c r="FM23" s="55"/>
      <c r="FN23" s="55"/>
      <c r="FO23" s="55"/>
      <c r="FP23" s="55"/>
      <c r="FQ23" s="55"/>
      <c r="FR23" s="55"/>
      <c r="FS23" s="55"/>
      <c r="FT23" s="55"/>
      <c r="FU23" s="55"/>
      <c r="FV23" s="55"/>
      <c r="FW23" s="55"/>
    </row>
    <row r="24" spans="1:179" s="57" customFormat="1" ht="9.75" customHeight="1" x14ac:dyDescent="0.15">
      <c r="A24" s="468" t="s">
        <v>147</v>
      </c>
      <c r="B24" s="300">
        <v>0.05</v>
      </c>
      <c r="C24" s="214">
        <v>0.1</v>
      </c>
      <c r="D24" s="224"/>
      <c r="E24" s="225"/>
      <c r="F24" s="215">
        <v>0</v>
      </c>
      <c r="G24" s="216">
        <v>0</v>
      </c>
      <c r="H24" s="223">
        <v>0</v>
      </c>
      <c r="I24" s="223">
        <v>0</v>
      </c>
      <c r="J24" s="217">
        <f t="shared" si="97"/>
        <v>0</v>
      </c>
      <c r="K24" s="493">
        <f>SUM(IF((0*(IF(ISBLANK(E24),C24,E24)))+IF(ISBLANK(D24),B24,D24) &lt; 0, 0, (0*(IF(ISBLANK(E24),C24,E24)))+IF(ISBLANK(D24),B24,D24)))</f>
        <v>0.05</v>
      </c>
      <c r="L24" s="493">
        <f>SUM(IF((1*(IF(ISBLANK(E24),C24,E24)))+IF(ISBLANK(D24),B24,D24) &lt; 0, 0, (1*(IF(ISBLANK(E24),C24,E24)))+IF(ISBLANK(D24),B24,D24)))</f>
        <v>0.15000000000000002</v>
      </c>
      <c r="M24" s="493">
        <f>SUM(IF((2*(IF(ISBLANK(E24),C24,E24)))+IF(ISBLANK(D24),B24,D24) &lt; 0, 0, (2*(IF(ISBLANK(E24),C24,E24)))+IF(ISBLANK(D24),B24,D24)))</f>
        <v>0.25</v>
      </c>
      <c r="N24" s="493">
        <f>SUM(IF((3*(IF(ISBLANK(E24),C24,E24)))+IF(ISBLANK(D24),B24,D24) &lt; 0, 0, (3*(IF(ISBLANK(E24),C24,E24)))+IF(ISBLANK(D24),B24,D24)))</f>
        <v>0.35000000000000003</v>
      </c>
      <c r="O24" s="217">
        <f t="shared" si="91"/>
        <v>2130860.1900018454</v>
      </c>
      <c r="P24" s="493">
        <f>SUM(IF((4*(IF(ISBLANK(E24),C24,E24)))+IF(ISBLANK(D24),B24,D24) &lt; 0, 0, (4*(IF(ISBLANK(E24),C24,E24)))+IF(ISBLANK(D24),B24,D24)))</f>
        <v>0.45</v>
      </c>
      <c r="Q24" s="493">
        <f>SUM(IF((5*(IF(ISBLANK(E24),C24,E24)))+IF(ISBLANK(D24),B24,D24) &lt; 0, 0, (5*(IF(ISBLANK(E24),C24,E24)))+IF(ISBLANK(D24),B24,D24)))</f>
        <v>0.55000000000000004</v>
      </c>
      <c r="R24" s="493">
        <f>SUM(IF((6*(IF(ISBLANK(E24),C24,E24)))+IF(ISBLANK(D24),B24,D24) &lt; 0, 0, (6*(IF(ISBLANK(E24),C24,E24)))+IF(ISBLANK(D24),B24,D24)))</f>
        <v>0.65000000000000013</v>
      </c>
      <c r="S24" s="493">
        <f>SUM(IF((7*(IF(ISBLANK(E24),C24,E24)))+IF(ISBLANK(D24),B24,D24) &lt; 0, 0, (7*(IF(ISBLANK(E24),C24,E24)))+IF(ISBLANK(D24),B24,D24)))</f>
        <v>0.75000000000000011</v>
      </c>
      <c r="T24" s="218">
        <f t="shared" si="96"/>
        <v>85898129.432491362</v>
      </c>
      <c r="U24" s="247"/>
      <c r="V24" s="213">
        <f>SUM(IF((9*(IF(ISBLANK(E24),C24,E24)))+IF(ISBLANK(D24),B24,D24) &lt; 0, 0, (9*(IF(ISBLANK(E24),C24,E24)))+IF(ISBLANK(D24),B24,D24)))*12</f>
        <v>11.4</v>
      </c>
      <c r="W24" s="219">
        <f>SUM(IF((11*(IF(ISBLANK(E24),C24,E24)))+IF(ISBLANK(D24),B24,D24) &lt; 0, 0, (11*(IF(ISBLANK(E24),C24,E24)))+IF(ISBLANK(D24),B24,D24)))*12</f>
        <v>13.8</v>
      </c>
      <c r="X24" s="220">
        <f>SUM(IF((13*(IF(ISBLANK(E24),C24,E24)))+IF(ISBLANK(D24),B24,D24) &lt; 0, 0, (13*(IF(ISBLANK(E24),C24,E24)))+IF(ISBLANK(D24),B24,D24)))*12</f>
        <v>16.200000000000003</v>
      </c>
      <c r="Y24" s="221"/>
      <c r="Z24" s="578">
        <v>0</v>
      </c>
      <c r="AA24" s="617"/>
      <c r="AB24" s="532">
        <f>SUM(AB18*F24)</f>
        <v>0</v>
      </c>
      <c r="AC24" s="492">
        <f>SUM(AC18*F24)</f>
        <v>0</v>
      </c>
      <c r="AD24" s="492">
        <f>SUM(AD18*F24)</f>
        <v>0</v>
      </c>
      <c r="AE24" s="492">
        <f t="shared" si="70"/>
        <v>0</v>
      </c>
      <c r="AF24" s="222"/>
      <c r="AG24" s="532">
        <f>SUM(AG18*G24)</f>
        <v>0</v>
      </c>
      <c r="AH24" s="492">
        <f>SUM(AH18*G24)</f>
        <v>0</v>
      </c>
      <c r="AI24" s="492">
        <f>SUM(AI18*G24)</f>
        <v>0</v>
      </c>
      <c r="AJ24" s="492">
        <f t="shared" si="71"/>
        <v>0</v>
      </c>
      <c r="AK24" s="222"/>
      <c r="AL24" s="532">
        <f t="shared" si="72"/>
        <v>0</v>
      </c>
      <c r="AM24" s="492">
        <f t="shared" si="73"/>
        <v>0</v>
      </c>
      <c r="AN24" s="492">
        <f t="shared" si="74"/>
        <v>0</v>
      </c>
      <c r="AO24" s="492">
        <f t="shared" si="75"/>
        <v>0</v>
      </c>
      <c r="AP24" s="222"/>
      <c r="AQ24" s="532">
        <f>SUM(AQ18*I24)</f>
        <v>0</v>
      </c>
      <c r="AR24" s="492">
        <f>SUM(AR18*I24)</f>
        <v>0</v>
      </c>
      <c r="AS24" s="492">
        <f>SUM(AS18*I24)</f>
        <v>0</v>
      </c>
      <c r="AT24" s="492">
        <f t="shared" si="76"/>
        <v>0</v>
      </c>
      <c r="AU24" s="222"/>
      <c r="AV24" s="617"/>
      <c r="AW24" s="532">
        <f>SUM(AW18*K24)</f>
        <v>6274.8453893815022</v>
      </c>
      <c r="AX24" s="492">
        <f>SUM(AX18*K24)</f>
        <v>8107.3611028316409</v>
      </c>
      <c r="AY24" s="492">
        <f>SUM(AY18*K24)</f>
        <v>10256.884820505838</v>
      </c>
      <c r="AZ24" s="492">
        <f t="shared" si="77"/>
        <v>24639.091312718981</v>
      </c>
      <c r="BA24" s="222"/>
      <c r="BB24" s="532">
        <f>SUM(BB18*L24)</f>
        <v>39980.419366425471</v>
      </c>
      <c r="BC24" s="492">
        <f>SUM(BC18*L24)</f>
        <v>50681.992373092471</v>
      </c>
      <c r="BD24" s="492">
        <f>SUM(BD18*L24)</f>
        <v>63117.018239604338</v>
      </c>
      <c r="BE24" s="492">
        <f t="shared" si="78"/>
        <v>153779.42997912227</v>
      </c>
      <c r="BF24" s="222"/>
      <c r="BG24" s="532">
        <f>SUM(BG18*M24)</f>
        <v>135321.2069272653</v>
      </c>
      <c r="BH24" s="492">
        <f>SUM(BH18*M24)</f>
        <v>169995.36705972525</v>
      </c>
      <c r="BI24" s="492">
        <f>SUM(BI18*M24)</f>
        <v>209904.09493221293</v>
      </c>
      <c r="BJ24" s="492">
        <f t="shared" si="79"/>
        <v>515220.66891920345</v>
      </c>
      <c r="BK24" s="222"/>
      <c r="BL24" s="532">
        <f>SUM(BL18*N24)</f>
        <v>378315.70968349441</v>
      </c>
      <c r="BM24" s="492">
        <f>SUM(BM18*N24)</f>
        <v>474583.24711611046</v>
      </c>
      <c r="BN24" s="492">
        <f>SUM(BN18*N24)</f>
        <v>584322.04299119581</v>
      </c>
      <c r="BO24" s="492">
        <f t="shared" si="80"/>
        <v>1437220.9997908007</v>
      </c>
      <c r="BP24" s="222"/>
      <c r="BQ24" s="221"/>
      <c r="BR24" s="532">
        <f>SUM(BR18*P24)</f>
        <v>969650.24003812624</v>
      </c>
      <c r="BS24" s="492">
        <f>SUM(BS18*P24)</f>
        <v>1216175.0221950479</v>
      </c>
      <c r="BT24" s="492">
        <f>SUM(BT18*P24)</f>
        <v>1494473.1028483817</v>
      </c>
      <c r="BU24" s="492">
        <f t="shared" si="81"/>
        <v>3680298.3650815561</v>
      </c>
      <c r="BV24" s="222"/>
      <c r="BW24" s="532">
        <f>SUM(BW18*Q24)</f>
        <v>2366112.7996027209</v>
      </c>
      <c r="BX24" s="492">
        <f>SUM(BX18*Q24)</f>
        <v>2969202.5423848117</v>
      </c>
      <c r="BY24" s="492">
        <f>SUM(BY18*Q24)</f>
        <v>3643334.030772632</v>
      </c>
      <c r="BZ24" s="492">
        <f t="shared" si="82"/>
        <v>8978649.3727601655</v>
      </c>
      <c r="CA24" s="222"/>
      <c r="CB24" s="532">
        <f>SUM(CB18*R24)</f>
        <v>5646178.5888202963</v>
      </c>
      <c r="CC24" s="492">
        <f>SUM(CC18*R24)</f>
        <v>7136234.5191783905</v>
      </c>
      <c r="CD24" s="492">
        <f>SUM(CD18*R24)</f>
        <v>8792630.5464241747</v>
      </c>
      <c r="CE24" s="492">
        <f t="shared" si="83"/>
        <v>21575043.654422864</v>
      </c>
      <c r="CF24" s="222"/>
      <c r="CG24" s="532">
        <f>SUM(CG18*S24)</f>
        <v>13434784.211963046</v>
      </c>
      <c r="CH24" s="492">
        <f>SUM(CH18*S24)</f>
        <v>17087084.136467848</v>
      </c>
      <c r="CI24" s="492">
        <f>SUM(CI18*S24)</f>
        <v>21142269.691795871</v>
      </c>
      <c r="CJ24" s="492">
        <f t="shared" si="84"/>
        <v>51664138.040226765</v>
      </c>
      <c r="CK24" s="222"/>
      <c r="CL24" s="55"/>
      <c r="CM24" s="55"/>
      <c r="CN24" s="55"/>
      <c r="CO24" s="55"/>
      <c r="CP24" s="55"/>
      <c r="CQ24" s="55"/>
      <c r="CR24" s="55"/>
      <c r="CS24" s="55"/>
      <c r="CT24" s="55"/>
      <c r="CU24" s="55"/>
      <c r="CV24" s="55"/>
      <c r="CW24" s="55"/>
      <c r="CX24" s="55"/>
      <c r="CY24" s="55"/>
      <c r="CZ24" s="55"/>
      <c r="DA24" s="55"/>
      <c r="DB24" s="55"/>
      <c r="DC24" s="55"/>
      <c r="DD24" s="55"/>
      <c r="DE24" s="55"/>
      <c r="DF24" s="55"/>
      <c r="DG24" s="55"/>
      <c r="DH24" s="55"/>
      <c r="DI24" s="55"/>
      <c r="DJ24" s="55"/>
      <c r="DK24" s="55"/>
      <c r="DL24" s="55"/>
      <c r="DM24" s="55"/>
      <c r="DN24" s="55"/>
      <c r="DO24" s="55"/>
      <c r="DP24" s="55"/>
      <c r="DQ24" s="55"/>
      <c r="DR24" s="55"/>
      <c r="DS24" s="55"/>
      <c r="DT24" s="55"/>
      <c r="DU24" s="55"/>
      <c r="DV24" s="55"/>
      <c r="DW24" s="55"/>
      <c r="DX24" s="55"/>
      <c r="DY24" s="55"/>
      <c r="DZ24" s="55"/>
      <c r="EA24" s="55"/>
      <c r="EB24" s="55"/>
      <c r="EC24" s="55"/>
      <c r="ED24" s="55"/>
      <c r="EE24" s="55"/>
      <c r="EF24" s="55"/>
      <c r="EG24" s="55"/>
      <c r="EH24" s="55"/>
      <c r="EI24" s="55"/>
      <c r="EJ24" s="55"/>
      <c r="EK24" s="55"/>
      <c r="EL24" s="55"/>
      <c r="EM24" s="55"/>
      <c r="EN24" s="55"/>
      <c r="EO24" s="55"/>
      <c r="EP24" s="55"/>
      <c r="EQ24" s="55"/>
      <c r="ER24" s="55"/>
      <c r="ES24" s="55"/>
      <c r="ET24" s="55"/>
      <c r="EU24" s="55"/>
      <c r="EV24" s="55"/>
      <c r="EW24" s="55"/>
      <c r="EX24" s="55"/>
      <c r="EY24" s="55"/>
      <c r="EZ24" s="55"/>
      <c r="FA24" s="55"/>
      <c r="FB24" s="55"/>
      <c r="FC24" s="55"/>
      <c r="FD24" s="55"/>
      <c r="FE24" s="55"/>
      <c r="FF24" s="55"/>
      <c r="FG24" s="55"/>
      <c r="FH24" s="55"/>
      <c r="FI24" s="55"/>
      <c r="FJ24" s="55"/>
      <c r="FK24" s="55"/>
      <c r="FL24" s="55"/>
      <c r="FM24" s="55"/>
      <c r="FN24" s="55"/>
      <c r="FO24" s="55"/>
      <c r="FP24" s="55"/>
      <c r="FQ24" s="55"/>
      <c r="FR24" s="55"/>
      <c r="FS24" s="55"/>
      <c r="FT24" s="55"/>
      <c r="FU24" s="55"/>
      <c r="FV24" s="55"/>
      <c r="FW24" s="55"/>
    </row>
    <row r="25" spans="1:179" s="57" customFormat="1" ht="9.75" customHeight="1" x14ac:dyDescent="0.15">
      <c r="A25" s="468" t="s">
        <v>148</v>
      </c>
      <c r="B25" s="300">
        <v>0.1</v>
      </c>
      <c r="C25" s="299">
        <v>0.05</v>
      </c>
      <c r="D25" s="224"/>
      <c r="E25" s="225"/>
      <c r="F25" s="215">
        <v>0</v>
      </c>
      <c r="G25" s="216">
        <v>0</v>
      </c>
      <c r="H25" s="223">
        <v>0</v>
      </c>
      <c r="I25" s="223">
        <v>0</v>
      </c>
      <c r="J25" s="217">
        <f t="shared" si="97"/>
        <v>0</v>
      </c>
      <c r="K25" s="493">
        <f>SUM(IF((0*(IF(ISBLANK(E25),C25,E25)))+IF(ISBLANK(D25),B25,D25) &lt; 0, 0, (0*(IF(ISBLANK(E25),C25,E25)))+IF(ISBLANK(D25),B25,D25)))</f>
        <v>0.1</v>
      </c>
      <c r="L25" s="493">
        <f>SUM(IF((1*(IF(ISBLANK(E25),C25,E25)))+IF(ISBLANK(D25),B25,D25) &lt; 0, 0, (1*(IF(ISBLANK(E25),C25,E25)))+IF(ISBLANK(D25),B25,D25)))</f>
        <v>0.15000000000000002</v>
      </c>
      <c r="M25" s="493">
        <f>SUM(IF((2*(IF(ISBLANK(E25),C25,E25)))+IF(ISBLANK(D25),B25,D25) &lt; 0, 0, (2*(IF(ISBLANK(E25),C25,E25)))+IF(ISBLANK(D25),B25,D25)))</f>
        <v>0.2</v>
      </c>
      <c r="N25" s="493">
        <f>SUM(IF((3*(IF(ISBLANK(E25),C25,E25)))+IF(ISBLANK(D25),B25,D25) &lt; 0, 0, (3*(IF(ISBLANK(E25),C25,E25)))+IF(ISBLANK(D25),B25,D25)))</f>
        <v>0.25</v>
      </c>
      <c r="O25" s="217">
        <f t="shared" si="91"/>
        <v>1641820.5761619234</v>
      </c>
      <c r="P25" s="493">
        <f>SUM(IF((4*(IF(ISBLANK(E25),C25,E25)))+IF(ISBLANK(D25),B25,D25) &lt; 0, 0, (4*(IF(ISBLANK(E25),C25,E25)))+IF(ISBLANK(D25),B25,D25)))</f>
        <v>0.30000000000000004</v>
      </c>
      <c r="Q25" s="493">
        <f>SUM(IF((5*(IF(ISBLANK(E25),C25,E25)))+IF(ISBLANK(D25),B25,D25) &lt; 0, 0, (5*(IF(ISBLANK(E25),C25,E25)))+IF(ISBLANK(D25),B25,D25)))</f>
        <v>0.35</v>
      </c>
      <c r="R25" s="493">
        <f>SUM(IF((6*(IF(ISBLANK(E25),C25,E25)))+IF(ISBLANK(D25),B25,D25) &lt; 0, 0, (6*(IF(ISBLANK(E25),C25,E25)))+IF(ISBLANK(D25),B25,D25)))</f>
        <v>0.4</v>
      </c>
      <c r="S25" s="493">
        <f>SUM(IF((7*(IF(ISBLANK(E25),C25,E25)))+IF(ISBLANK(D25),B25,D25) &lt; 0, 0, (7*(IF(ISBLANK(E25),C25,E25)))+IF(ISBLANK(D25),B25,D25)))</f>
        <v>0.45000000000000007</v>
      </c>
      <c r="T25" s="218">
        <f t="shared" si="96"/>
        <v>52442650.973190799</v>
      </c>
      <c r="U25" s="247"/>
      <c r="V25" s="213">
        <f>SUM(IF((9*(IF(ISBLANK(E25),C25,E25)))+IF(ISBLANK(D25),B25,D25) &lt; 0, 0, (9*(IF(ISBLANK(E25),C25,E25)))+IF(ISBLANK(D25),B25,D25)))*12</f>
        <v>6.6000000000000005</v>
      </c>
      <c r="W25" s="219">
        <f>SUM(IF((11*(IF(ISBLANK(E25),C25,E25)))+IF(ISBLANK(D25),B25,D25) &lt; 0, 0, (11*(IF(ISBLANK(E25),C25,E25)))+IF(ISBLANK(D25),B25,D25)))*12</f>
        <v>7.8000000000000007</v>
      </c>
      <c r="X25" s="220">
        <f>SUM(IF((13*(IF(ISBLANK(E25),C25,E25)))+IF(ISBLANK(D25),B25,D25) &lt; 0, 0, (13*(IF(ISBLANK(E25),C25,E25)))+IF(ISBLANK(D25),B25,D25)))*12</f>
        <v>9</v>
      </c>
      <c r="Y25" s="221"/>
      <c r="Z25" s="578">
        <v>0</v>
      </c>
      <c r="AA25" s="617"/>
      <c r="AB25" s="532">
        <f>SUM(AB18*F25)</f>
        <v>0</v>
      </c>
      <c r="AC25" s="492">
        <f>SUM(AC18*F25)</f>
        <v>0</v>
      </c>
      <c r="AD25" s="492">
        <f>SUM(AD18*F25)</f>
        <v>0</v>
      </c>
      <c r="AE25" s="492">
        <f t="shared" si="70"/>
        <v>0</v>
      </c>
      <c r="AF25" s="222"/>
      <c r="AG25" s="532">
        <f>SUM(AG18*G25)</f>
        <v>0</v>
      </c>
      <c r="AH25" s="492">
        <f>SUM(AH18*G25)</f>
        <v>0</v>
      </c>
      <c r="AI25" s="492">
        <f>SUM(AI18*G25)</f>
        <v>0</v>
      </c>
      <c r="AJ25" s="492">
        <f t="shared" si="71"/>
        <v>0</v>
      </c>
      <c r="AK25" s="222"/>
      <c r="AL25" s="532">
        <f t="shared" si="72"/>
        <v>0</v>
      </c>
      <c r="AM25" s="492">
        <f t="shared" si="73"/>
        <v>0</v>
      </c>
      <c r="AN25" s="492">
        <f t="shared" si="74"/>
        <v>0</v>
      </c>
      <c r="AO25" s="492">
        <f t="shared" si="75"/>
        <v>0</v>
      </c>
      <c r="AP25" s="222"/>
      <c r="AQ25" s="532">
        <f>SUM(AQ18*I25)</f>
        <v>0</v>
      </c>
      <c r="AR25" s="492">
        <f>SUM(AR18*I25)</f>
        <v>0</v>
      </c>
      <c r="AS25" s="492">
        <f>SUM(AS18*I25)</f>
        <v>0</v>
      </c>
      <c r="AT25" s="492">
        <f t="shared" si="76"/>
        <v>0</v>
      </c>
      <c r="AU25" s="222"/>
      <c r="AV25" s="617"/>
      <c r="AW25" s="532">
        <f>SUM(AW18*K25)</f>
        <v>12549.690778763004</v>
      </c>
      <c r="AX25" s="492">
        <f>SUM(AX18*K25)</f>
        <v>16214.722205663282</v>
      </c>
      <c r="AY25" s="492">
        <f>SUM(AY18*K25)</f>
        <v>20513.769641011677</v>
      </c>
      <c r="AZ25" s="492">
        <f t="shared" si="77"/>
        <v>49278.182625437963</v>
      </c>
      <c r="BA25" s="222"/>
      <c r="BB25" s="532">
        <f>SUM(BB18*L25)</f>
        <v>39980.419366425471</v>
      </c>
      <c r="BC25" s="492">
        <f>SUM(BC18*L25)</f>
        <v>50681.992373092471</v>
      </c>
      <c r="BD25" s="492">
        <f>SUM(BD18*L25)</f>
        <v>63117.018239604338</v>
      </c>
      <c r="BE25" s="492">
        <f t="shared" si="78"/>
        <v>153779.42997912227</v>
      </c>
      <c r="BF25" s="222"/>
      <c r="BG25" s="532">
        <f>SUM(BG18*M25)</f>
        <v>108256.96554181224</v>
      </c>
      <c r="BH25" s="492">
        <f>SUM(BH18*M25)</f>
        <v>135996.2936477802</v>
      </c>
      <c r="BI25" s="492">
        <f>SUM(BI18*M25)</f>
        <v>167923.27594577035</v>
      </c>
      <c r="BJ25" s="492">
        <f t="shared" si="79"/>
        <v>412176.53513536276</v>
      </c>
      <c r="BK25" s="222"/>
      <c r="BL25" s="532">
        <f>SUM(BL18*N25)</f>
        <v>270225.50691678171</v>
      </c>
      <c r="BM25" s="492">
        <f>SUM(BM18*N25)</f>
        <v>338988.03365436458</v>
      </c>
      <c r="BN25" s="492">
        <f>SUM(BN18*N25)</f>
        <v>417372.88785085408</v>
      </c>
      <c r="BO25" s="492">
        <f t="shared" si="80"/>
        <v>1026586.4284220004</v>
      </c>
      <c r="BP25" s="222"/>
      <c r="BQ25" s="221"/>
      <c r="BR25" s="532">
        <f>SUM(BR18*P25)</f>
        <v>646433.49335875083</v>
      </c>
      <c r="BS25" s="492">
        <f>SUM(BS18*P25)</f>
        <v>810783.34813003195</v>
      </c>
      <c r="BT25" s="492">
        <f>SUM(BT18*P25)</f>
        <v>996315.40189892135</v>
      </c>
      <c r="BU25" s="492">
        <f t="shared" si="81"/>
        <v>2453532.2433877042</v>
      </c>
      <c r="BV25" s="222"/>
      <c r="BW25" s="532">
        <f>SUM(BW18*Q25)</f>
        <v>1505708.1452017315</v>
      </c>
      <c r="BX25" s="492">
        <f>SUM(BX18*Q25)</f>
        <v>1889492.5269721525</v>
      </c>
      <c r="BY25" s="492">
        <f>SUM(BY18*Q25)</f>
        <v>2318485.2923098565</v>
      </c>
      <c r="BZ25" s="492">
        <f t="shared" si="82"/>
        <v>5713685.9644837398</v>
      </c>
      <c r="CA25" s="222"/>
      <c r="CB25" s="532">
        <f>SUM(CB18*R25)</f>
        <v>3474571.4392740279</v>
      </c>
      <c r="CC25" s="492">
        <f>SUM(CC18*R25)</f>
        <v>4391528.9348790087</v>
      </c>
      <c r="CD25" s="492">
        <f>SUM(CD18*R25)</f>
        <v>5410849.5670302613</v>
      </c>
      <c r="CE25" s="492">
        <f t="shared" si="83"/>
        <v>13276949.941183299</v>
      </c>
      <c r="CF25" s="222"/>
      <c r="CG25" s="532">
        <f>SUM(CG18*S25)</f>
        <v>8060870.5271778274</v>
      </c>
      <c r="CH25" s="492">
        <f>SUM(CH18*S25)</f>
        <v>10252250.48188071</v>
      </c>
      <c r="CI25" s="492">
        <f>SUM(CI18*S25)</f>
        <v>12685361.815077523</v>
      </c>
      <c r="CJ25" s="492">
        <f t="shared" si="84"/>
        <v>30998482.824136056</v>
      </c>
      <c r="CK25" s="222"/>
      <c r="CL25" s="55"/>
      <c r="CM25" s="55"/>
      <c r="CN25" s="55"/>
      <c r="CO25" s="55"/>
      <c r="CP25" s="55"/>
      <c r="CQ25" s="55"/>
      <c r="CR25" s="55"/>
      <c r="CS25" s="55"/>
      <c r="CT25" s="55"/>
      <c r="CU25" s="55"/>
      <c r="CV25" s="55"/>
      <c r="CW25" s="55"/>
      <c r="CX25" s="55"/>
      <c r="CY25" s="55"/>
      <c r="CZ25" s="55"/>
      <c r="DA25" s="55"/>
      <c r="DB25" s="55"/>
      <c r="DC25" s="55"/>
      <c r="DD25" s="55"/>
      <c r="DE25" s="55"/>
      <c r="DF25" s="55"/>
      <c r="DG25" s="55"/>
      <c r="DH25" s="55"/>
      <c r="DI25" s="55"/>
      <c r="DJ25" s="55"/>
      <c r="DK25" s="55"/>
      <c r="DL25" s="55"/>
      <c r="DM25" s="55"/>
      <c r="DN25" s="55"/>
      <c r="DO25" s="55"/>
      <c r="DP25" s="55"/>
      <c r="DQ25" s="55"/>
      <c r="DR25" s="55"/>
      <c r="DS25" s="55"/>
      <c r="DT25" s="55"/>
      <c r="DU25" s="55"/>
      <c r="DV25" s="55"/>
      <c r="DW25" s="55"/>
      <c r="DX25" s="55"/>
      <c r="DY25" s="55"/>
      <c r="DZ25" s="55"/>
      <c r="EA25" s="55"/>
      <c r="EB25" s="55"/>
      <c r="EC25" s="55"/>
      <c r="ED25" s="55"/>
      <c r="EE25" s="55"/>
      <c r="EF25" s="55"/>
      <c r="EG25" s="55"/>
      <c r="EH25" s="55"/>
      <c r="EI25" s="55"/>
      <c r="EJ25" s="55"/>
      <c r="EK25" s="55"/>
      <c r="EL25" s="55"/>
      <c r="EM25" s="55"/>
      <c r="EN25" s="55"/>
      <c r="EO25" s="55"/>
      <c r="EP25" s="55"/>
      <c r="EQ25" s="55"/>
      <c r="ER25" s="55"/>
      <c r="ES25" s="55"/>
      <c r="ET25" s="55"/>
      <c r="EU25" s="55"/>
      <c r="EV25" s="55"/>
      <c r="EW25" s="55"/>
      <c r="EX25" s="55"/>
      <c r="EY25" s="55"/>
      <c r="EZ25" s="55"/>
      <c r="FA25" s="55"/>
      <c r="FB25" s="55"/>
      <c r="FC25" s="55"/>
      <c r="FD25" s="55"/>
      <c r="FE25" s="55"/>
      <c r="FF25" s="55"/>
      <c r="FG25" s="55"/>
      <c r="FH25" s="55"/>
      <c r="FI25" s="55"/>
      <c r="FJ25" s="55"/>
      <c r="FK25" s="55"/>
      <c r="FL25" s="55"/>
      <c r="FM25" s="55"/>
      <c r="FN25" s="55"/>
      <c r="FO25" s="55"/>
      <c r="FP25" s="55"/>
      <c r="FQ25" s="55"/>
      <c r="FR25" s="55"/>
      <c r="FS25" s="55"/>
      <c r="FT25" s="55"/>
      <c r="FU25" s="55"/>
      <c r="FV25" s="55"/>
      <c r="FW25" s="55"/>
    </row>
    <row r="26" spans="1:179" s="57" customFormat="1" ht="9.75" customHeight="1" x14ac:dyDescent="0.15">
      <c r="A26" s="468" t="s">
        <v>149</v>
      </c>
      <c r="B26" s="213">
        <v>0.01</v>
      </c>
      <c r="C26" s="214">
        <v>0.02</v>
      </c>
      <c r="D26" s="224"/>
      <c r="E26" s="225"/>
      <c r="F26" s="215">
        <v>0</v>
      </c>
      <c r="G26" s="216">
        <v>0</v>
      </c>
      <c r="H26" s="223">
        <v>0</v>
      </c>
      <c r="I26" s="223">
        <v>0</v>
      </c>
      <c r="J26" s="217">
        <f t="shared" si="97"/>
        <v>0</v>
      </c>
      <c r="K26" s="493">
        <f>SUM(IF((0*(IF(ISBLANK(E26),C26,E26)))+IF(ISBLANK(D26),B26,D26) &lt; 0, 0, (0*(IF(ISBLANK(E26),C26,E26)))+IF(ISBLANK(D26),B26,D26)))</f>
        <v>0.01</v>
      </c>
      <c r="L26" s="493">
        <f>SUM(IF((1*(IF(ISBLANK(E26),C26,E26)))+IF(ISBLANK(D26),B26,D26) &lt; 0, 0, (1*(IF(ISBLANK(E26),C26,E26)))+IF(ISBLANK(D26),B26,D26)))</f>
        <v>0.03</v>
      </c>
      <c r="M26" s="493">
        <f>SUM(IF((2*(IF(ISBLANK(E26),C26,E26)))+IF(ISBLANK(D26),B26,D26) &lt; 0, 0, (2*(IF(ISBLANK(E26),C26,E26)))+IF(ISBLANK(D26),B26,D26)))</f>
        <v>0.05</v>
      </c>
      <c r="N26" s="493">
        <f>SUM(IF((3*(IF(ISBLANK(E26),C26,E26)))+IF(ISBLANK(D26),B26,D26) &lt; 0, 0, (3*(IF(ISBLANK(E26),C26,E26)))+IF(ISBLANK(D26),B26,D26)))</f>
        <v>6.9999999999999993E-2</v>
      </c>
      <c r="O26" s="217">
        <f t="shared" si="91"/>
        <v>426172.03800036898</v>
      </c>
      <c r="P26" s="493">
        <f>SUM(IF((4*(IF(ISBLANK(E26),C26,E26)))+IF(ISBLANK(D26),B26,D26) &lt; 0, 0, (4*(IF(ISBLANK(E26),C26,E26)))+IF(ISBLANK(D26),B26,D26)))</f>
        <v>0.09</v>
      </c>
      <c r="Q26" s="493">
        <f>SUM(IF((5*(IF(ISBLANK(E26),C26,E26)))+IF(ISBLANK(D26),B26,D26) &lt; 0, 0, (5*(IF(ISBLANK(E26),C26,E26)))+IF(ISBLANK(D26),B26,D26)))</f>
        <v>0.11</v>
      </c>
      <c r="R26" s="493">
        <f>SUM(IF((6*(IF(ISBLANK(E26),C26,E26)))+IF(ISBLANK(D26),B26,D26) &lt; 0, 0, (6*(IF(ISBLANK(E26),C26,E26)))+IF(ISBLANK(D26),B26,D26)))</f>
        <v>0.13</v>
      </c>
      <c r="S26" s="493">
        <f>SUM(IF((7*(IF(ISBLANK(E26),C26,E26)))+IF(ISBLANK(D26),B26,D26) &lt; 0, 0, (7*(IF(ISBLANK(E26),C26,E26)))+IF(ISBLANK(D26),B26,D26)))</f>
        <v>0.15000000000000002</v>
      </c>
      <c r="T26" s="218">
        <f t="shared" si="96"/>
        <v>17179625.886498272</v>
      </c>
      <c r="U26" s="247"/>
      <c r="V26" s="213">
        <f>SUM(IF((9*(IF(ISBLANK(E26),C26,E26)))+IF(ISBLANK(D26),B26,D26) &lt; 0, 0, (9*(IF(ISBLANK(E26),C26,E26)))+IF(ISBLANK(D26),B26,D26)))*12</f>
        <v>2.2800000000000002</v>
      </c>
      <c r="W26" s="219">
        <f>SUM(IF((11*(IF(ISBLANK(E26),C26,E26)))+IF(ISBLANK(D26),B26,D26) &lt; 0, 0, (11*(IF(ISBLANK(E26),C26,E26)))+IF(ISBLANK(D26),B26,D26)))*12</f>
        <v>2.7600000000000002</v>
      </c>
      <c r="X26" s="220">
        <f>SUM(IF((13*(IF(ISBLANK(E26),C26,E26)))+IF(ISBLANK(D26),B26,D26) &lt; 0, 0, (13*(IF(ISBLANK(E26),C26,E26)))+IF(ISBLANK(D26),B26,D26)))*12</f>
        <v>3.24</v>
      </c>
      <c r="Y26" s="221"/>
      <c r="Z26" s="578">
        <v>0</v>
      </c>
      <c r="AA26" s="617"/>
      <c r="AB26" s="532">
        <f>SUM(AB18*F26)</f>
        <v>0</v>
      </c>
      <c r="AC26" s="492">
        <f>SUM(AC18*F26)</f>
        <v>0</v>
      </c>
      <c r="AD26" s="492">
        <f>SUM(AD18*F26)</f>
        <v>0</v>
      </c>
      <c r="AE26" s="492">
        <f t="shared" si="70"/>
        <v>0</v>
      </c>
      <c r="AF26" s="222"/>
      <c r="AG26" s="532">
        <f>SUM(AG18*G26)</f>
        <v>0</v>
      </c>
      <c r="AH26" s="492">
        <f>SUM(AH18*G26)</f>
        <v>0</v>
      </c>
      <c r="AI26" s="492">
        <f>SUM(AI18*G26)</f>
        <v>0</v>
      </c>
      <c r="AJ26" s="492">
        <f t="shared" si="71"/>
        <v>0</v>
      </c>
      <c r="AK26" s="222"/>
      <c r="AL26" s="532">
        <f t="shared" si="72"/>
        <v>0</v>
      </c>
      <c r="AM26" s="492">
        <f t="shared" si="73"/>
        <v>0</v>
      </c>
      <c r="AN26" s="492">
        <f t="shared" si="74"/>
        <v>0</v>
      </c>
      <c r="AO26" s="492">
        <f t="shared" si="75"/>
        <v>0</v>
      </c>
      <c r="AP26" s="222"/>
      <c r="AQ26" s="532">
        <f>SUM(AQ18*I26)</f>
        <v>0</v>
      </c>
      <c r="AR26" s="492">
        <f>SUM(AR18*I26)</f>
        <v>0</v>
      </c>
      <c r="AS26" s="492">
        <f>SUM(AS18*I26)</f>
        <v>0</v>
      </c>
      <c r="AT26" s="492">
        <f t="shared" si="76"/>
        <v>0</v>
      </c>
      <c r="AU26" s="222"/>
      <c r="AV26" s="617"/>
      <c r="AW26" s="532">
        <f>SUM(AW18*K26)</f>
        <v>1254.9690778763004</v>
      </c>
      <c r="AX26" s="492">
        <f>SUM(AX18*K26)</f>
        <v>1621.4722205663281</v>
      </c>
      <c r="AY26" s="492">
        <f>SUM(AY18*K26)</f>
        <v>2051.3769641011672</v>
      </c>
      <c r="AZ26" s="492">
        <f t="shared" si="77"/>
        <v>4927.8182625437958</v>
      </c>
      <c r="BA26" s="222"/>
      <c r="BB26" s="532">
        <f>SUM(BB18*L26)</f>
        <v>7996.0838732850934</v>
      </c>
      <c r="BC26" s="492">
        <f>SUM(BC18*L26)</f>
        <v>10136.398474618492</v>
      </c>
      <c r="BD26" s="492">
        <f>SUM(BD18*L26)</f>
        <v>12623.403647920866</v>
      </c>
      <c r="BE26" s="492">
        <f t="shared" si="78"/>
        <v>30755.88599582445</v>
      </c>
      <c r="BF26" s="222"/>
      <c r="BG26" s="532">
        <f>SUM(BG18*M26)</f>
        <v>27064.241385453061</v>
      </c>
      <c r="BH26" s="492">
        <f>SUM(BH18*M26)</f>
        <v>33999.07341194505</v>
      </c>
      <c r="BI26" s="492">
        <f>SUM(BI18*M26)</f>
        <v>41980.818986442588</v>
      </c>
      <c r="BJ26" s="492">
        <f t="shared" si="79"/>
        <v>103044.13378384069</v>
      </c>
      <c r="BK26" s="222"/>
      <c r="BL26" s="532">
        <f>SUM(BL18*N26)</f>
        <v>75663.14193669887</v>
      </c>
      <c r="BM26" s="492">
        <f>SUM(BM18*N26)</f>
        <v>94916.649423222072</v>
      </c>
      <c r="BN26" s="492">
        <f>SUM(BN18*N26)</f>
        <v>116864.40859823913</v>
      </c>
      <c r="BO26" s="492">
        <f t="shared" si="80"/>
        <v>287444.19995816005</v>
      </c>
      <c r="BP26" s="222"/>
      <c r="BQ26" s="221"/>
      <c r="BR26" s="532">
        <f>SUM(BR18*P26)</f>
        <v>193930.04800762521</v>
      </c>
      <c r="BS26" s="492">
        <f>SUM(BS18*P26)</f>
        <v>243235.00443900956</v>
      </c>
      <c r="BT26" s="492">
        <f>SUM(BT18*P26)</f>
        <v>298894.62056967634</v>
      </c>
      <c r="BU26" s="492">
        <f t="shared" si="81"/>
        <v>736059.67301631114</v>
      </c>
      <c r="BV26" s="222"/>
      <c r="BW26" s="532">
        <f>SUM(BW18*Q26)</f>
        <v>473222.55992054415</v>
      </c>
      <c r="BX26" s="492">
        <f>SUM(BX18*Q26)</f>
        <v>593840.50847696222</v>
      </c>
      <c r="BY26" s="492">
        <f>SUM(BY18*Q26)</f>
        <v>728666.80615452642</v>
      </c>
      <c r="BZ26" s="492">
        <f t="shared" si="82"/>
        <v>1795729.8745520329</v>
      </c>
      <c r="CA26" s="222"/>
      <c r="CB26" s="532">
        <f>SUM(CB18*R26)</f>
        <v>1129235.7177640591</v>
      </c>
      <c r="CC26" s="492">
        <f>SUM(CC18*R26)</f>
        <v>1427246.9038356778</v>
      </c>
      <c r="CD26" s="492">
        <f>SUM(CD18*R26)</f>
        <v>1758526.1092848347</v>
      </c>
      <c r="CE26" s="492">
        <f t="shared" si="83"/>
        <v>4315008.7308845716</v>
      </c>
      <c r="CF26" s="222"/>
      <c r="CG26" s="532">
        <f>SUM(CG18*S26)</f>
        <v>2686956.8423926095</v>
      </c>
      <c r="CH26" s="492">
        <f>SUM(CH18*S26)</f>
        <v>3417416.8272935697</v>
      </c>
      <c r="CI26" s="492">
        <f>SUM(CI18*S26)</f>
        <v>4228453.9383591739</v>
      </c>
      <c r="CJ26" s="492">
        <f t="shared" si="84"/>
        <v>10332827.608045354</v>
      </c>
      <c r="CK26" s="222"/>
      <c r="CL26" s="55"/>
      <c r="CM26" s="55"/>
      <c r="CN26" s="55"/>
      <c r="CO26" s="55"/>
      <c r="CP26" s="55"/>
      <c r="CQ26" s="55"/>
      <c r="CR26" s="55"/>
      <c r="CS26" s="55"/>
      <c r="CT26" s="55"/>
      <c r="CU26" s="55"/>
      <c r="CV26" s="55"/>
      <c r="CW26" s="55"/>
      <c r="CX26" s="55"/>
      <c r="CY26" s="55"/>
      <c r="CZ26" s="55"/>
      <c r="DA26" s="55"/>
      <c r="DB26" s="55"/>
      <c r="DC26" s="55"/>
      <c r="DD26" s="55"/>
      <c r="DE26" s="55"/>
      <c r="DF26" s="55"/>
      <c r="DG26" s="55"/>
      <c r="DH26" s="55"/>
      <c r="DI26" s="55"/>
      <c r="DJ26" s="55"/>
      <c r="DK26" s="55"/>
      <c r="DL26" s="55"/>
      <c r="DM26" s="55"/>
      <c r="DN26" s="55"/>
      <c r="DO26" s="55"/>
      <c r="DP26" s="55"/>
      <c r="DQ26" s="55"/>
      <c r="DR26" s="55"/>
      <c r="DS26" s="55"/>
      <c r="DT26" s="55"/>
      <c r="DU26" s="55"/>
      <c r="DV26" s="55"/>
      <c r="DW26" s="55"/>
      <c r="DX26" s="55"/>
      <c r="DY26" s="55"/>
      <c r="DZ26" s="55"/>
      <c r="EA26" s="55"/>
      <c r="EB26" s="55"/>
      <c r="EC26" s="55"/>
      <c r="ED26" s="55"/>
      <c r="EE26" s="55"/>
      <c r="EF26" s="55"/>
      <c r="EG26" s="55"/>
      <c r="EH26" s="55"/>
      <c r="EI26" s="55"/>
      <c r="EJ26" s="55"/>
      <c r="EK26" s="55"/>
      <c r="EL26" s="55"/>
      <c r="EM26" s="55"/>
      <c r="EN26" s="55"/>
      <c r="EO26" s="55"/>
      <c r="EP26" s="55"/>
      <c r="EQ26" s="55"/>
      <c r="ER26" s="55"/>
      <c r="ES26" s="55"/>
      <c r="ET26" s="55"/>
      <c r="EU26" s="55"/>
      <c r="EV26" s="55"/>
      <c r="EW26" s="55"/>
      <c r="EX26" s="55"/>
      <c r="EY26" s="55"/>
      <c r="EZ26" s="55"/>
      <c r="FA26" s="55"/>
      <c r="FB26" s="55"/>
      <c r="FC26" s="55"/>
      <c r="FD26" s="55"/>
      <c r="FE26" s="55"/>
      <c r="FF26" s="55"/>
      <c r="FG26" s="55"/>
      <c r="FH26" s="55"/>
      <c r="FI26" s="55"/>
      <c r="FJ26" s="55"/>
      <c r="FK26" s="55"/>
      <c r="FL26" s="55"/>
      <c r="FM26" s="55"/>
      <c r="FN26" s="55"/>
      <c r="FO26" s="55"/>
      <c r="FP26" s="55"/>
      <c r="FQ26" s="55"/>
      <c r="FR26" s="55"/>
      <c r="FS26" s="55"/>
      <c r="FT26" s="55"/>
      <c r="FU26" s="55"/>
      <c r="FV26" s="55"/>
      <c r="FW26" s="55"/>
    </row>
    <row r="27" spans="1:179" s="57" customFormat="1" ht="9.75" customHeight="1" x14ac:dyDescent="0.15">
      <c r="A27" s="468" t="s">
        <v>150</v>
      </c>
      <c r="B27" s="300">
        <v>0.01</v>
      </c>
      <c r="C27" s="214">
        <v>0</v>
      </c>
      <c r="D27" s="224"/>
      <c r="E27" s="225"/>
      <c r="F27" s="215">
        <v>0</v>
      </c>
      <c r="G27" s="216">
        <v>0</v>
      </c>
      <c r="H27" s="223">
        <v>0</v>
      </c>
      <c r="I27" s="223">
        <v>0</v>
      </c>
      <c r="J27" s="217">
        <f t="shared" si="97"/>
        <v>0</v>
      </c>
      <c r="K27" s="223">
        <v>0</v>
      </c>
      <c r="L27" s="223">
        <v>0</v>
      </c>
      <c r="M27" s="223">
        <v>0</v>
      </c>
      <c r="N27" s="223">
        <v>0</v>
      </c>
      <c r="O27" s="217">
        <f t="shared" si="91"/>
        <v>0</v>
      </c>
      <c r="P27" s="493">
        <f>SUM(IF((0*(IF(ISBLANK(E27),C27,E27)))+IF(ISBLANK(D27),B27,D27) &lt; 0, 0, (0*(IF(ISBLANK(E27),C27,E27)))+IF(ISBLANK(D27),B27,D27)))</f>
        <v>0.01</v>
      </c>
      <c r="Q27" s="493">
        <f>SUM(IF((1*(IF(ISBLANK(E27),C27,E27)))+IF(ISBLANK(D27),B27,D27) &lt; 0, 0, (1*(IF(ISBLANK(E27),C27,E27)))+IF(ISBLANK(D27),B27,D27)))</f>
        <v>0.01</v>
      </c>
      <c r="R27" s="493">
        <f>SUM(IF((2*(IF(ISBLANK(E27),C27,E27)))+IF(ISBLANK(D27),B27,D27) &lt; 0, 0, (2*(IF(ISBLANK(E27),C27,E27)))+IF(ISBLANK(D27),B27,D27)))</f>
        <v>0.01</v>
      </c>
      <c r="S27" s="493">
        <f>SUM(IF((3*(IF(ISBLANK(E27),C27,E27)))+IF(ISBLANK(D27),B27,D27) &lt; 0, 0, (3*(IF(ISBLANK(E27),C27,E27)))+IF(ISBLANK(D27),B27,D27)))</f>
        <v>0.01</v>
      </c>
      <c r="T27" s="218">
        <f t="shared" si="96"/>
        <v>1265811.5009260173</v>
      </c>
      <c r="U27" s="247"/>
      <c r="V27" s="213">
        <f>SUM(IF((5*(IF(ISBLANK(E27),C27,E27)))+IF(ISBLANK(D27),B27,D27) &lt; 0, 0, (5*(IF(ISBLANK(E27),C27,E27)))+IF(ISBLANK(D27),B27,D27)))*12</f>
        <v>0.12</v>
      </c>
      <c r="W27" s="219">
        <f>SUM(IF((7*(IF(ISBLANK(E27),C27,E27)))+IF(ISBLANK(D27),B27,D27) &lt; 0, 0, (7*(IF(ISBLANK(E27),C27,E27)))+IF(ISBLANK(D27),B27,D27)))*12</f>
        <v>0.12</v>
      </c>
      <c r="X27" s="220">
        <f>SUM(IF((9*(IF(ISBLANK(E27),C27,E27)))+IF(ISBLANK(D27),B27,D27) &lt; 0, 0, (9*(IF(ISBLANK(E27),C27,E27)))+IF(ISBLANK(D27),B27,D27)))*12</f>
        <v>0.12</v>
      </c>
      <c r="Y27" s="221"/>
      <c r="Z27" s="578">
        <v>0</v>
      </c>
      <c r="AA27" s="617"/>
      <c r="AB27" s="532">
        <f>SUM(AB18*F27)</f>
        <v>0</v>
      </c>
      <c r="AC27" s="492">
        <f>SUM(AC18*F27)</f>
        <v>0</v>
      </c>
      <c r="AD27" s="492">
        <f>SUM(AD18*F27)</f>
        <v>0</v>
      </c>
      <c r="AE27" s="492">
        <f t="shared" si="70"/>
        <v>0</v>
      </c>
      <c r="AF27" s="222"/>
      <c r="AG27" s="532">
        <f>SUM(AG18*G27)</f>
        <v>0</v>
      </c>
      <c r="AH27" s="492">
        <f>SUM(AH18*G27)</f>
        <v>0</v>
      </c>
      <c r="AI27" s="492">
        <f>SUM(AI18*G27)</f>
        <v>0</v>
      </c>
      <c r="AJ27" s="492">
        <f t="shared" si="71"/>
        <v>0</v>
      </c>
      <c r="AK27" s="222"/>
      <c r="AL27" s="532">
        <f t="shared" si="72"/>
        <v>0</v>
      </c>
      <c r="AM27" s="492">
        <f t="shared" si="73"/>
        <v>0</v>
      </c>
      <c r="AN27" s="492">
        <f t="shared" si="74"/>
        <v>0</v>
      </c>
      <c r="AO27" s="492">
        <f t="shared" si="75"/>
        <v>0</v>
      </c>
      <c r="AP27" s="222"/>
      <c r="AQ27" s="532">
        <f>SUM(AQ18*I27)</f>
        <v>0</v>
      </c>
      <c r="AR27" s="492">
        <f>SUM(AR18*I27)</f>
        <v>0</v>
      </c>
      <c r="AS27" s="492">
        <f>SUM(AS18*I27)</f>
        <v>0</v>
      </c>
      <c r="AT27" s="492">
        <f t="shared" si="76"/>
        <v>0</v>
      </c>
      <c r="AU27" s="222"/>
      <c r="AV27" s="617"/>
      <c r="AW27" s="532">
        <f>SUM(AW18*K27)</f>
        <v>0</v>
      </c>
      <c r="AX27" s="492">
        <f>SUM(AX18*K27)</f>
        <v>0</v>
      </c>
      <c r="AY27" s="492">
        <f>SUM(AY18*K27)</f>
        <v>0</v>
      </c>
      <c r="AZ27" s="492">
        <f t="shared" si="77"/>
        <v>0</v>
      </c>
      <c r="BA27" s="222"/>
      <c r="BB27" s="532">
        <f>SUM(BB18*L27)</f>
        <v>0</v>
      </c>
      <c r="BC27" s="492">
        <f>SUM(BC18*L27)</f>
        <v>0</v>
      </c>
      <c r="BD27" s="492">
        <f>SUM(BD18*L27)</f>
        <v>0</v>
      </c>
      <c r="BE27" s="492">
        <f t="shared" si="78"/>
        <v>0</v>
      </c>
      <c r="BF27" s="222"/>
      <c r="BG27" s="532">
        <f>SUM(BG18*M27)</f>
        <v>0</v>
      </c>
      <c r="BH27" s="492">
        <f>SUM(BH18*M27)</f>
        <v>0</v>
      </c>
      <c r="BI27" s="492">
        <f>SUM(BI18*M27)</f>
        <v>0</v>
      </c>
      <c r="BJ27" s="492">
        <f t="shared" si="79"/>
        <v>0</v>
      </c>
      <c r="BK27" s="222"/>
      <c r="BL27" s="532">
        <f>SUM(BL18*N27)</f>
        <v>0</v>
      </c>
      <c r="BM27" s="492">
        <f>SUM(BM18*N27)</f>
        <v>0</v>
      </c>
      <c r="BN27" s="492">
        <f>SUM(BN18*N27)</f>
        <v>0</v>
      </c>
      <c r="BO27" s="492">
        <f t="shared" si="80"/>
        <v>0</v>
      </c>
      <c r="BP27" s="222"/>
      <c r="BQ27" s="221"/>
      <c r="BR27" s="532">
        <f>SUM(BR18*P27)</f>
        <v>21547.783111958361</v>
      </c>
      <c r="BS27" s="492">
        <f>SUM(BS18*P27)</f>
        <v>27026.111604334397</v>
      </c>
      <c r="BT27" s="492">
        <f>SUM(BT18*P27)</f>
        <v>33210.513396630704</v>
      </c>
      <c r="BU27" s="492">
        <f t="shared" si="81"/>
        <v>81784.408112923469</v>
      </c>
      <c r="BV27" s="222"/>
      <c r="BW27" s="532">
        <f>SUM(BW18*Q27)</f>
        <v>43020.232720049469</v>
      </c>
      <c r="BX27" s="492">
        <f>SUM(BX18*Q27)</f>
        <v>53985.500770632934</v>
      </c>
      <c r="BY27" s="492">
        <f>SUM(BY18*Q27)</f>
        <v>66242.436923138768</v>
      </c>
      <c r="BZ27" s="492">
        <f t="shared" si="82"/>
        <v>163248.17041382118</v>
      </c>
      <c r="CA27" s="222"/>
      <c r="CB27" s="532">
        <f>SUM(CB18*R27)</f>
        <v>86864.285981850699</v>
      </c>
      <c r="CC27" s="492">
        <f>SUM(CC18*R27)</f>
        <v>109788.22337197523</v>
      </c>
      <c r="CD27" s="492">
        <f>SUM(CD18*R27)</f>
        <v>135271.23917575652</v>
      </c>
      <c r="CE27" s="492">
        <f t="shared" si="83"/>
        <v>331923.74852958246</v>
      </c>
      <c r="CF27" s="222"/>
      <c r="CG27" s="532">
        <f>SUM(CG18*S27)</f>
        <v>179130.45615950727</v>
      </c>
      <c r="CH27" s="492">
        <f>SUM(CH18*S27)</f>
        <v>227827.78848623793</v>
      </c>
      <c r="CI27" s="492">
        <f>SUM(CI18*S27)</f>
        <v>281896.9292239449</v>
      </c>
      <c r="CJ27" s="492">
        <f t="shared" si="84"/>
        <v>688855.17386969016</v>
      </c>
      <c r="CK27" s="222"/>
      <c r="CL27" s="55"/>
      <c r="CM27" s="55"/>
      <c r="CN27" s="55"/>
      <c r="CO27" s="55"/>
      <c r="CP27" s="55"/>
      <c r="CQ27" s="55"/>
      <c r="CR27" s="55"/>
      <c r="CS27" s="55"/>
      <c r="CT27" s="55"/>
      <c r="CU27" s="55"/>
      <c r="CV27" s="55"/>
      <c r="CW27" s="55"/>
      <c r="CX27" s="55"/>
      <c r="CY27" s="55"/>
      <c r="CZ27" s="55"/>
      <c r="DA27" s="55"/>
      <c r="DB27" s="55"/>
      <c r="DC27" s="55"/>
      <c r="DD27" s="55"/>
      <c r="DE27" s="55"/>
      <c r="DF27" s="55"/>
      <c r="DG27" s="55"/>
      <c r="DH27" s="55"/>
      <c r="DI27" s="55"/>
      <c r="DJ27" s="55"/>
      <c r="DK27" s="55"/>
      <c r="DL27" s="55"/>
      <c r="DM27" s="55"/>
      <c r="DN27" s="55"/>
      <c r="DO27" s="55"/>
      <c r="DP27" s="55"/>
      <c r="DQ27" s="55"/>
      <c r="DR27" s="55"/>
      <c r="DS27" s="55"/>
      <c r="DT27" s="55"/>
      <c r="DU27" s="55"/>
      <c r="DV27" s="55"/>
      <c r="DW27" s="55"/>
      <c r="DX27" s="55"/>
      <c r="DY27" s="55"/>
      <c r="DZ27" s="55"/>
      <c r="EA27" s="55"/>
      <c r="EB27" s="55"/>
      <c r="EC27" s="55"/>
      <c r="ED27" s="55"/>
      <c r="EE27" s="55"/>
      <c r="EF27" s="55"/>
      <c r="EG27" s="55"/>
      <c r="EH27" s="55"/>
      <c r="EI27" s="55"/>
      <c r="EJ27" s="55"/>
      <c r="EK27" s="55"/>
      <c r="EL27" s="55"/>
      <c r="EM27" s="55"/>
      <c r="EN27" s="55"/>
      <c r="EO27" s="55"/>
      <c r="EP27" s="55"/>
      <c r="EQ27" s="55"/>
      <c r="ER27" s="55"/>
      <c r="ES27" s="55"/>
      <c r="ET27" s="55"/>
      <c r="EU27" s="55"/>
      <c r="EV27" s="55"/>
      <c r="EW27" s="55"/>
      <c r="EX27" s="55"/>
      <c r="EY27" s="55"/>
      <c r="EZ27" s="55"/>
      <c r="FA27" s="55"/>
      <c r="FB27" s="55"/>
      <c r="FC27" s="55"/>
      <c r="FD27" s="55"/>
      <c r="FE27" s="55"/>
      <c r="FF27" s="55"/>
      <c r="FG27" s="55"/>
      <c r="FH27" s="55"/>
      <c r="FI27" s="55"/>
      <c r="FJ27" s="55"/>
      <c r="FK27" s="55"/>
      <c r="FL27" s="55"/>
      <c r="FM27" s="55"/>
      <c r="FN27" s="55"/>
      <c r="FO27" s="55"/>
      <c r="FP27" s="55"/>
      <c r="FQ27" s="55"/>
      <c r="FR27" s="55"/>
      <c r="FS27" s="55"/>
      <c r="FT27" s="55"/>
      <c r="FU27" s="55"/>
      <c r="FV27" s="55"/>
      <c r="FW27" s="55"/>
    </row>
    <row r="28" spans="1:179" s="57" customFormat="1" ht="9.75" customHeight="1" x14ac:dyDescent="0.15">
      <c r="A28" s="468" t="s">
        <v>151</v>
      </c>
      <c r="B28" s="300">
        <v>0.05</v>
      </c>
      <c r="C28" s="299">
        <v>7.0000000000000007E-2</v>
      </c>
      <c r="D28" s="224"/>
      <c r="E28" s="225"/>
      <c r="F28" s="215">
        <v>0</v>
      </c>
      <c r="G28" s="216">
        <v>0</v>
      </c>
      <c r="H28" s="223">
        <v>0</v>
      </c>
      <c r="I28" s="223">
        <v>0</v>
      </c>
      <c r="J28" s="217">
        <f t="shared" si="97"/>
        <v>0</v>
      </c>
      <c r="K28" s="223">
        <v>0</v>
      </c>
      <c r="L28" s="223">
        <v>0</v>
      </c>
      <c r="M28" s="223">
        <v>0</v>
      </c>
      <c r="N28" s="223">
        <v>0</v>
      </c>
      <c r="O28" s="217">
        <f t="shared" si="91"/>
        <v>0</v>
      </c>
      <c r="P28" s="493">
        <f>SUM(IF((1*(IF(ISBLANK(E28),C28,E28)))+IF(ISBLANK(D28),B28,D28) &lt; 0, 0, (1*(IF(ISBLANK(E28),C28,E28)))+IF(ISBLANK(D28),B28,D28)))</f>
        <v>0.12000000000000001</v>
      </c>
      <c r="Q28" s="493">
        <f>SUM(IF((2*(IF(ISBLANK(E28),C28,E28)))+IF(ISBLANK(D28),B28,D28) &lt; 0, 0, (2*(IF(ISBLANK(E28),C28,E28)))+IF(ISBLANK(D28),B28,D28)))</f>
        <v>0.19</v>
      </c>
      <c r="R28" s="493">
        <f>SUM(IF((3*(IF(ISBLANK(E28),C28,E28)))+IF(ISBLANK(D28),B28,D28) &lt; 0, 0, (3*(IF(ISBLANK(E28),C28,E28)))+IF(ISBLANK(D28),B28,D28)))</f>
        <v>0.26</v>
      </c>
      <c r="S28" s="493">
        <f>SUM(IF((4*(IF(ISBLANK(E28),C28,E28)))+IF(ISBLANK(D28),B28,D28) &lt; 0, 0, (4*(IF(ISBLANK(E28),C28,E28)))+IF(ISBLANK(D28),B28,D28)))</f>
        <v>0.33</v>
      </c>
      <c r="T28" s="218">
        <f t="shared" si="96"/>
        <v>35445366.334686607</v>
      </c>
      <c r="U28" s="247"/>
      <c r="V28" s="213">
        <f>SUM(IF((6*(IF(ISBLANK(E28),C28,E28)))+IF(ISBLANK(D28),B28,D28) &lt; 0, 0, (6*(IF(ISBLANK(E28),C28,E28)))+IF(ISBLANK(D28),B28,D28)))*12</f>
        <v>5.6400000000000006</v>
      </c>
      <c r="W28" s="219">
        <f>SUM(IF((8*(IF(ISBLANK(E28),C28,E28)))+IF(ISBLANK(D28),B28,D28) &lt; 0, 0, (8*(IF(ISBLANK(E28),C28,E28)))+IF(ISBLANK(D28),B28,D28)))*12</f>
        <v>7.3200000000000012</v>
      </c>
      <c r="X28" s="220">
        <f>SUM(IF((10*(IF(ISBLANK(E28),C28,E28)))+IF(ISBLANK(D28),B28,D28) &lt; 0, 0, (10*(IF(ISBLANK(E28),C28,E28)))+IF(ISBLANK(D28),B28,D28)))*12</f>
        <v>9.0000000000000018</v>
      </c>
      <c r="Y28" s="221"/>
      <c r="Z28" s="578">
        <v>0</v>
      </c>
      <c r="AA28" s="617"/>
      <c r="AB28" s="532">
        <f>SUM(AB18*F28)</f>
        <v>0</v>
      </c>
      <c r="AC28" s="492">
        <f>SUM(AC18*F28)</f>
        <v>0</v>
      </c>
      <c r="AD28" s="492">
        <f>SUM(AD18*F28)</f>
        <v>0</v>
      </c>
      <c r="AE28" s="492">
        <f t="shared" si="70"/>
        <v>0</v>
      </c>
      <c r="AF28" s="222"/>
      <c r="AG28" s="532">
        <f>SUM(AG18*G28)</f>
        <v>0</v>
      </c>
      <c r="AH28" s="492">
        <f>SUM(AH18*G28)</f>
        <v>0</v>
      </c>
      <c r="AI28" s="492">
        <f>SUM(AI18*G28)</f>
        <v>0</v>
      </c>
      <c r="AJ28" s="492">
        <f t="shared" si="71"/>
        <v>0</v>
      </c>
      <c r="AK28" s="222"/>
      <c r="AL28" s="532">
        <f t="shared" si="72"/>
        <v>0</v>
      </c>
      <c r="AM28" s="492">
        <f t="shared" si="73"/>
        <v>0</v>
      </c>
      <c r="AN28" s="492">
        <f t="shared" si="74"/>
        <v>0</v>
      </c>
      <c r="AO28" s="492">
        <f t="shared" si="75"/>
        <v>0</v>
      </c>
      <c r="AP28" s="222"/>
      <c r="AQ28" s="532">
        <f>SUM(AQ18*I28)</f>
        <v>0</v>
      </c>
      <c r="AR28" s="492">
        <f>SUM(AR18*I28)</f>
        <v>0</v>
      </c>
      <c r="AS28" s="492">
        <f>SUM(AS18*I28)</f>
        <v>0</v>
      </c>
      <c r="AT28" s="492">
        <f t="shared" si="76"/>
        <v>0</v>
      </c>
      <c r="AU28" s="222"/>
      <c r="AV28" s="617"/>
      <c r="AW28" s="532">
        <f>SUM(AW18*K28)</f>
        <v>0</v>
      </c>
      <c r="AX28" s="492">
        <f>SUM(AX18*K28)</f>
        <v>0</v>
      </c>
      <c r="AY28" s="492">
        <f>SUM(AY18*K28)</f>
        <v>0</v>
      </c>
      <c r="AZ28" s="492">
        <f t="shared" si="77"/>
        <v>0</v>
      </c>
      <c r="BA28" s="222"/>
      <c r="BB28" s="532">
        <f>SUM(BB18*L28)</f>
        <v>0</v>
      </c>
      <c r="BC28" s="492">
        <f>SUM(BC18*L28)</f>
        <v>0</v>
      </c>
      <c r="BD28" s="492">
        <f>SUM(BD18*L28)</f>
        <v>0</v>
      </c>
      <c r="BE28" s="492">
        <f t="shared" si="78"/>
        <v>0</v>
      </c>
      <c r="BF28" s="222"/>
      <c r="BG28" s="532">
        <f>SUM(BG18*M28)</f>
        <v>0</v>
      </c>
      <c r="BH28" s="492">
        <f>SUM(BH18*M28)</f>
        <v>0</v>
      </c>
      <c r="BI28" s="492">
        <f>SUM(BI18*M28)</f>
        <v>0</v>
      </c>
      <c r="BJ28" s="492">
        <f t="shared" si="79"/>
        <v>0</v>
      </c>
      <c r="BK28" s="222"/>
      <c r="BL28" s="532">
        <f>SUM(BL18*N28)</f>
        <v>0</v>
      </c>
      <c r="BM28" s="492">
        <f>SUM(BM18*N28)</f>
        <v>0</v>
      </c>
      <c r="BN28" s="492">
        <f>SUM(BN18*N28)</f>
        <v>0</v>
      </c>
      <c r="BO28" s="492">
        <f t="shared" si="80"/>
        <v>0</v>
      </c>
      <c r="BP28" s="222"/>
      <c r="BQ28" s="221"/>
      <c r="BR28" s="532">
        <f>SUM(BR18*P28)</f>
        <v>258573.39734350034</v>
      </c>
      <c r="BS28" s="492">
        <f>SUM(BS18*P28)</f>
        <v>324313.33925201278</v>
      </c>
      <c r="BT28" s="492">
        <f>SUM(BT18*P28)</f>
        <v>398526.16075956851</v>
      </c>
      <c r="BU28" s="492">
        <f t="shared" si="81"/>
        <v>981412.89735508151</v>
      </c>
      <c r="BV28" s="222"/>
      <c r="BW28" s="532">
        <f>SUM(BW18*Q28)</f>
        <v>817384.42168093997</v>
      </c>
      <c r="BX28" s="492">
        <f>SUM(BX18*Q28)</f>
        <v>1025724.5146420257</v>
      </c>
      <c r="BY28" s="492">
        <f>SUM(BY18*Q28)</f>
        <v>1258606.3015396364</v>
      </c>
      <c r="BZ28" s="492">
        <f t="shared" si="82"/>
        <v>3101715.2378626019</v>
      </c>
      <c r="CA28" s="222"/>
      <c r="CB28" s="532">
        <f>SUM(CB18*R28)</f>
        <v>2258471.4355281182</v>
      </c>
      <c r="CC28" s="492">
        <f>SUM(CC18*R28)</f>
        <v>2854493.8076713555</v>
      </c>
      <c r="CD28" s="492">
        <f>SUM(CD18*R28)</f>
        <v>3517052.2185696694</v>
      </c>
      <c r="CE28" s="492">
        <f t="shared" si="83"/>
        <v>8630017.4617691431</v>
      </c>
      <c r="CF28" s="222"/>
      <c r="CG28" s="532">
        <f>SUM(CG18*S28)</f>
        <v>5911305.0532637397</v>
      </c>
      <c r="CH28" s="492">
        <f>SUM(CH18*S28)</f>
        <v>7518317.0200458523</v>
      </c>
      <c r="CI28" s="492">
        <f>SUM(CI18*S28)</f>
        <v>9302598.6643901821</v>
      </c>
      <c r="CJ28" s="492">
        <f t="shared" si="84"/>
        <v>22732220.737699777</v>
      </c>
      <c r="CK28" s="222"/>
      <c r="CL28" s="55"/>
      <c r="CM28" s="55"/>
      <c r="CN28" s="55"/>
      <c r="CO28" s="55"/>
      <c r="CP28" s="55"/>
      <c r="CQ28" s="55"/>
      <c r="CR28" s="55"/>
      <c r="CS28" s="55"/>
      <c r="CT28" s="55"/>
      <c r="CU28" s="55"/>
      <c r="CV28" s="55"/>
      <c r="CW28" s="55"/>
      <c r="CX28" s="55"/>
      <c r="CY28" s="55"/>
      <c r="CZ28" s="55"/>
      <c r="DA28" s="55"/>
      <c r="DB28" s="55"/>
      <c r="DC28" s="55"/>
      <c r="DD28" s="55"/>
      <c r="DE28" s="55"/>
      <c r="DF28" s="55"/>
      <c r="DG28" s="55"/>
      <c r="DH28" s="55"/>
      <c r="DI28" s="55"/>
      <c r="DJ28" s="55"/>
      <c r="DK28" s="55"/>
      <c r="DL28" s="55"/>
      <c r="DM28" s="55"/>
      <c r="DN28" s="55"/>
      <c r="DO28" s="55"/>
      <c r="DP28" s="55"/>
      <c r="DQ28" s="55"/>
      <c r="DR28" s="55"/>
      <c r="DS28" s="55"/>
      <c r="DT28" s="55"/>
      <c r="DU28" s="55"/>
      <c r="DV28" s="55"/>
      <c r="DW28" s="55"/>
      <c r="DX28" s="55"/>
      <c r="DY28" s="55"/>
      <c r="DZ28" s="55"/>
      <c r="EA28" s="55"/>
      <c r="EB28" s="55"/>
      <c r="EC28" s="55"/>
      <c r="ED28" s="55"/>
      <c r="EE28" s="55"/>
      <c r="EF28" s="55"/>
      <c r="EG28" s="55"/>
      <c r="EH28" s="55"/>
      <c r="EI28" s="55"/>
      <c r="EJ28" s="55"/>
      <c r="EK28" s="55"/>
      <c r="EL28" s="55"/>
      <c r="EM28" s="55"/>
      <c r="EN28" s="55"/>
      <c r="EO28" s="55"/>
      <c r="EP28" s="55"/>
      <c r="EQ28" s="55"/>
      <c r="ER28" s="55"/>
      <c r="ES28" s="55"/>
      <c r="ET28" s="55"/>
      <c r="EU28" s="55"/>
      <c r="EV28" s="55"/>
      <c r="EW28" s="55"/>
      <c r="EX28" s="55"/>
      <c r="EY28" s="55"/>
      <c r="EZ28" s="55"/>
      <c r="FA28" s="55"/>
      <c r="FB28" s="55"/>
      <c r="FC28" s="55"/>
      <c r="FD28" s="55"/>
      <c r="FE28" s="55"/>
      <c r="FF28" s="55"/>
      <c r="FG28" s="55"/>
      <c r="FH28" s="55"/>
      <c r="FI28" s="55"/>
      <c r="FJ28" s="55"/>
      <c r="FK28" s="55"/>
      <c r="FL28" s="55"/>
      <c r="FM28" s="55"/>
      <c r="FN28" s="55"/>
      <c r="FO28" s="55"/>
      <c r="FP28" s="55"/>
      <c r="FQ28" s="55"/>
      <c r="FR28" s="55"/>
      <c r="FS28" s="55"/>
      <c r="FT28" s="55"/>
      <c r="FU28" s="55"/>
      <c r="FV28" s="55"/>
      <c r="FW28" s="55"/>
    </row>
    <row r="29" spans="1:179" s="57" customFormat="1" ht="9.75" customHeight="1" x14ac:dyDescent="0.15">
      <c r="A29" s="487" t="s">
        <v>152</v>
      </c>
      <c r="B29" s="697" t="s">
        <v>159</v>
      </c>
      <c r="C29" s="698"/>
      <c r="D29" s="695"/>
      <c r="E29" s="696"/>
      <c r="F29" s="226">
        <v>0</v>
      </c>
      <c r="G29" s="227">
        <v>0</v>
      </c>
      <c r="H29" s="227">
        <v>0</v>
      </c>
      <c r="I29" s="227">
        <v>0</v>
      </c>
      <c r="J29" s="217">
        <f t="shared" si="97"/>
        <v>0</v>
      </c>
      <c r="K29" s="227">
        <v>0</v>
      </c>
      <c r="L29" s="227">
        <v>0</v>
      </c>
      <c r="M29" s="227">
        <v>0</v>
      </c>
      <c r="N29" s="227">
        <v>0</v>
      </c>
      <c r="O29" s="217">
        <f t="shared" si="91"/>
        <v>0</v>
      </c>
      <c r="P29" s="227">
        <v>0</v>
      </c>
      <c r="Q29" s="227">
        <v>0</v>
      </c>
      <c r="R29" s="227">
        <v>0</v>
      </c>
      <c r="S29" s="227">
        <v>0</v>
      </c>
      <c r="T29" s="218">
        <f t="shared" si="96"/>
        <v>0</v>
      </c>
      <c r="U29" s="221"/>
      <c r="V29" s="239">
        <v>0</v>
      </c>
      <c r="W29" s="217">
        <v>0</v>
      </c>
      <c r="X29" s="242">
        <v>0</v>
      </c>
      <c r="Y29" s="221"/>
      <c r="Z29" s="578">
        <v>0</v>
      </c>
      <c r="AA29" s="617"/>
      <c r="AB29" s="532">
        <f>SUM(F29/3)</f>
        <v>0</v>
      </c>
      <c r="AC29" s="492">
        <f>SUM(F29/3)</f>
        <v>0</v>
      </c>
      <c r="AD29" s="492">
        <f>SUM(F29/3)</f>
        <v>0</v>
      </c>
      <c r="AE29" s="492">
        <f t="shared" si="70"/>
        <v>0</v>
      </c>
      <c r="AF29" s="222"/>
      <c r="AG29" s="532">
        <f>SUM(G29/3)</f>
        <v>0</v>
      </c>
      <c r="AH29" s="492">
        <f>SUM(G29/3)</f>
        <v>0</v>
      </c>
      <c r="AI29" s="492">
        <f>SUM(G29/3)</f>
        <v>0</v>
      </c>
      <c r="AJ29" s="492">
        <f t="shared" si="71"/>
        <v>0</v>
      </c>
      <c r="AK29" s="222"/>
      <c r="AL29" s="532">
        <f>SUM(H29/3)</f>
        <v>0</v>
      </c>
      <c r="AM29" s="492">
        <f>SUM(H29/3)</f>
        <v>0</v>
      </c>
      <c r="AN29" s="492">
        <f>SUM(H29/3)</f>
        <v>0</v>
      </c>
      <c r="AO29" s="492">
        <f t="shared" si="75"/>
        <v>0</v>
      </c>
      <c r="AP29" s="222"/>
      <c r="AQ29" s="532">
        <f>SUM(I29/3)</f>
        <v>0</v>
      </c>
      <c r="AR29" s="492">
        <f>SUM(I29/3)</f>
        <v>0</v>
      </c>
      <c r="AS29" s="492">
        <f>SUM(I29/3)</f>
        <v>0</v>
      </c>
      <c r="AT29" s="492">
        <f t="shared" si="76"/>
        <v>0</v>
      </c>
      <c r="AU29" s="222"/>
      <c r="AV29" s="617"/>
      <c r="AW29" s="532">
        <f>SUM(K29/3)</f>
        <v>0</v>
      </c>
      <c r="AX29" s="492">
        <f>SUM(K29/3)</f>
        <v>0</v>
      </c>
      <c r="AY29" s="492">
        <f>SUM(K29/3)</f>
        <v>0</v>
      </c>
      <c r="AZ29" s="492">
        <f t="shared" si="77"/>
        <v>0</v>
      </c>
      <c r="BA29" s="222"/>
      <c r="BB29" s="532">
        <f>SUM(L29/3)</f>
        <v>0</v>
      </c>
      <c r="BC29" s="492">
        <f>SUM(L29/3)</f>
        <v>0</v>
      </c>
      <c r="BD29" s="492">
        <f>SUM(L29/3)</f>
        <v>0</v>
      </c>
      <c r="BE29" s="492">
        <f t="shared" si="78"/>
        <v>0</v>
      </c>
      <c r="BF29" s="222"/>
      <c r="BG29" s="532">
        <f>SUM(M29/3)</f>
        <v>0</v>
      </c>
      <c r="BH29" s="492">
        <f>SUM(M29/3)</f>
        <v>0</v>
      </c>
      <c r="BI29" s="492">
        <f>SUM(M29/3)</f>
        <v>0</v>
      </c>
      <c r="BJ29" s="492">
        <f t="shared" si="79"/>
        <v>0</v>
      </c>
      <c r="BK29" s="222"/>
      <c r="BL29" s="532">
        <f>SUM(N29/3)</f>
        <v>0</v>
      </c>
      <c r="BM29" s="492">
        <f>SUM(N29/3)</f>
        <v>0</v>
      </c>
      <c r="BN29" s="492">
        <f>SUM(N29/3)</f>
        <v>0</v>
      </c>
      <c r="BO29" s="492">
        <f t="shared" si="80"/>
        <v>0</v>
      </c>
      <c r="BP29" s="222"/>
      <c r="BQ29" s="221"/>
      <c r="BR29" s="532">
        <f>SUM(P29/3)</f>
        <v>0</v>
      </c>
      <c r="BS29" s="492">
        <f>SUM(P29/3)</f>
        <v>0</v>
      </c>
      <c r="BT29" s="492">
        <f>SUM(P29/3)</f>
        <v>0</v>
      </c>
      <c r="BU29" s="492">
        <f t="shared" si="81"/>
        <v>0</v>
      </c>
      <c r="BV29" s="222"/>
      <c r="BW29" s="532">
        <f>SUM(Q29/3)</f>
        <v>0</v>
      </c>
      <c r="BX29" s="492">
        <f>SUM(Q29/3)</f>
        <v>0</v>
      </c>
      <c r="BY29" s="492">
        <f>SUM(Q29/3)</f>
        <v>0</v>
      </c>
      <c r="BZ29" s="492">
        <f t="shared" si="82"/>
        <v>0</v>
      </c>
      <c r="CA29" s="222"/>
      <c r="CB29" s="532">
        <f>SUM(R29/3)</f>
        <v>0</v>
      </c>
      <c r="CC29" s="492">
        <f>SUM(R29/3)</f>
        <v>0</v>
      </c>
      <c r="CD29" s="492">
        <f>SUM(R29/3)</f>
        <v>0</v>
      </c>
      <c r="CE29" s="492">
        <f t="shared" si="83"/>
        <v>0</v>
      </c>
      <c r="CF29" s="222"/>
      <c r="CG29" s="532">
        <f>SUM(S29/3)</f>
        <v>0</v>
      </c>
      <c r="CH29" s="492">
        <f>SUM(S29/3)</f>
        <v>0</v>
      </c>
      <c r="CI29" s="492">
        <f>SUM(S29/3)</f>
        <v>0</v>
      </c>
      <c r="CJ29" s="492">
        <f t="shared" si="84"/>
        <v>0</v>
      </c>
      <c r="CK29" s="222"/>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row>
    <row r="30" spans="1:179" s="57" customFormat="1" ht="9.75" customHeight="1" x14ac:dyDescent="0.15">
      <c r="A30" s="422" t="s">
        <v>219</v>
      </c>
      <c r="B30" s="185"/>
      <c r="C30" s="186"/>
      <c r="D30" s="636"/>
      <c r="E30" s="637"/>
      <c r="F30" s="419">
        <f>AE30</f>
        <v>0</v>
      </c>
      <c r="G30" s="420">
        <f>AJ30</f>
        <v>0</v>
      </c>
      <c r="H30" s="420">
        <f>AO30</f>
        <v>36967.049327299967</v>
      </c>
      <c r="I30" s="420">
        <f>AT30</f>
        <v>205221.59489155581</v>
      </c>
      <c r="J30" s="211">
        <f>SUM(F30:I30)</f>
        <v>242188.64421885577</v>
      </c>
      <c r="K30" s="420">
        <f>AZ30</f>
        <v>660327.64718086866</v>
      </c>
      <c r="L30" s="420">
        <f>BE30</f>
        <v>1763337.4637606018</v>
      </c>
      <c r="M30" s="420">
        <f>BJ30</f>
        <v>4327853.6189213097</v>
      </c>
      <c r="N30" s="420">
        <f>BO30</f>
        <v>10183737.369946245</v>
      </c>
      <c r="O30" s="211">
        <f>SUM(K30:N30)</f>
        <v>16935256.099809024</v>
      </c>
      <c r="P30" s="420">
        <f>BU30</f>
        <v>24453538.025764115</v>
      </c>
      <c r="Q30" s="420">
        <f>BZ30</f>
        <v>56157370.622354478</v>
      </c>
      <c r="R30" s="420">
        <f>CE30</f>
        <v>129118338.17800757</v>
      </c>
      <c r="S30" s="420">
        <f>CJ30</f>
        <v>298963145.45944554</v>
      </c>
      <c r="T30" s="230">
        <f>SUM(P30:S30)</f>
        <v>508692392.28557169</v>
      </c>
      <c r="U30" s="232"/>
      <c r="V30" s="231">
        <f>SUM(((S18+V18)/2)*(V21+V22+V23+V24+V25+V26+V27+V28))</f>
        <v>3600166123.6038103</v>
      </c>
      <c r="W30" s="211">
        <f>SUM(((V18+W18)/2)*(W21+W22+W23+W24+W25+W26+W27+W28))</f>
        <v>11174462484.516878</v>
      </c>
      <c r="X30" s="212">
        <f>SUM(((W18+X18)/2)*(X21+X22+X23+X24+X25+X26+X27+X28))</f>
        <v>26131813525.158314</v>
      </c>
      <c r="Y30" s="232"/>
      <c r="Z30" s="579">
        <v>0</v>
      </c>
      <c r="AA30" s="618"/>
      <c r="AB30" s="535">
        <f>SUM(AB21:AB29)</f>
        <v>0</v>
      </c>
      <c r="AC30" s="420">
        <f>SUM(AC21:AC29)</f>
        <v>0</v>
      </c>
      <c r="AD30" s="420">
        <f>SUM(AD21:AD29)</f>
        <v>0</v>
      </c>
      <c r="AE30" s="211">
        <f>SUM(AB30:AD30)</f>
        <v>0</v>
      </c>
      <c r="AF30" s="212"/>
      <c r="AG30" s="535">
        <f>SUM(AG21:AG29)</f>
        <v>0</v>
      </c>
      <c r="AH30" s="420">
        <f>SUM(AH21:AH29)</f>
        <v>0</v>
      </c>
      <c r="AI30" s="420">
        <f>SUM(AI21:AI29)</f>
        <v>0</v>
      </c>
      <c r="AJ30" s="211">
        <f>SUM(AG30:AI30)</f>
        <v>0</v>
      </c>
      <c r="AK30" s="212"/>
      <c r="AL30" s="535">
        <f>SUM(AL21:AL29)</f>
        <v>6856.2337779233785</v>
      </c>
      <c r="AM30" s="420">
        <f>SUM(AM21:AM29)</f>
        <v>11989.304530848651</v>
      </c>
      <c r="AN30" s="420">
        <f>SUM(AN21:AN29)</f>
        <v>18121.511018527937</v>
      </c>
      <c r="AO30" s="211">
        <f>SUM(AL30:AN30)</f>
        <v>36967.049327299967</v>
      </c>
      <c r="AP30" s="212"/>
      <c r="AQ30" s="535">
        <f>SUM(AQ21:AQ29)</f>
        <v>49308.286581664754</v>
      </c>
      <c r="AR30" s="420">
        <f>SUM(AR21:AR29)</f>
        <v>67316.693516312342</v>
      </c>
      <c r="AS30" s="420">
        <f>SUM(AS21:AS29)</f>
        <v>88596.614793578716</v>
      </c>
      <c r="AT30" s="211">
        <f>SUM(AQ30:AS30)</f>
        <v>205221.59489155581</v>
      </c>
      <c r="AU30" s="212"/>
      <c r="AV30" s="618"/>
      <c r="AW30" s="535">
        <f>SUM(AW21:AW29)</f>
        <v>168165.85643542427</v>
      </c>
      <c r="AX30" s="420">
        <f>SUM(AX21:AX29)</f>
        <v>217277.27755588794</v>
      </c>
      <c r="AY30" s="420">
        <f>SUM(AY21:AY29)</f>
        <v>274884.51318955643</v>
      </c>
      <c r="AZ30" s="211">
        <f>SUM(AW30:AY30)</f>
        <v>660327.64718086866</v>
      </c>
      <c r="BA30" s="212"/>
      <c r="BB30" s="535">
        <f>SUM(BB21:BB29)</f>
        <v>458442.14206834545</v>
      </c>
      <c r="BC30" s="420">
        <f>SUM(BC21:BC29)</f>
        <v>581153.51254479354</v>
      </c>
      <c r="BD30" s="420">
        <f>SUM(BD21:BD29)</f>
        <v>723741.80914746295</v>
      </c>
      <c r="BE30" s="211">
        <f>SUM(BB30:BD30)</f>
        <v>1763337.4637606018</v>
      </c>
      <c r="BF30" s="212"/>
      <c r="BG30" s="535">
        <f>SUM(BG21:BG29)</f>
        <v>1136698.1381890287</v>
      </c>
      <c r="BH30" s="420">
        <f>SUM(BH21:BH29)</f>
        <v>1427961.083301692</v>
      </c>
      <c r="BI30" s="420">
        <f>SUM(BI21:BI29)</f>
        <v>1763194.397430589</v>
      </c>
      <c r="BJ30" s="211">
        <f>SUM(BG30:BI30)</f>
        <v>4327853.6189213097</v>
      </c>
      <c r="BK30" s="212"/>
      <c r="BL30" s="535">
        <f>SUM(BL21:BL29)</f>
        <v>2680637.0286144749</v>
      </c>
      <c r="BM30" s="420">
        <f>SUM(BM21:BM29)</f>
        <v>3362761.2938512969</v>
      </c>
      <c r="BN30" s="420">
        <f>SUM(BN21:BN29)</f>
        <v>4140339.0474804724</v>
      </c>
      <c r="BO30" s="211">
        <f>SUM(BL30:BN30)</f>
        <v>10183737.369946245</v>
      </c>
      <c r="BP30" s="212"/>
      <c r="BQ30" s="232"/>
      <c r="BR30" s="535">
        <f>SUM(BR21:BR29)</f>
        <v>6442787.1504755504</v>
      </c>
      <c r="BS30" s="420">
        <f>SUM(BS21:BS29)</f>
        <v>8080807.3696959848</v>
      </c>
      <c r="BT30" s="420">
        <f>SUM(BT21:BT29)</f>
        <v>9929943.505592579</v>
      </c>
      <c r="BU30" s="211">
        <f>SUM(BR30:BT30)</f>
        <v>24453538.025764115</v>
      </c>
      <c r="BV30" s="212"/>
      <c r="BW30" s="535">
        <f>SUM(BW21:BW29)</f>
        <v>14798960.055697018</v>
      </c>
      <c r="BX30" s="420">
        <f>SUM(BX21:BX29)</f>
        <v>18571012.265097726</v>
      </c>
      <c r="BY30" s="420">
        <f>SUM(BY21:BY29)</f>
        <v>22787398.301559735</v>
      </c>
      <c r="BZ30" s="211">
        <f>SUM(BW30:BY30)</f>
        <v>56157370.622354478</v>
      </c>
      <c r="CA30" s="212"/>
      <c r="CB30" s="535">
        <f>SUM(CB21:CB29)</f>
        <v>33790207.246939927</v>
      </c>
      <c r="CC30" s="420">
        <f>SUM(CC21:CC29)</f>
        <v>42707618.89169836</v>
      </c>
      <c r="CD30" s="420">
        <f>SUM(CD21:CD29)</f>
        <v>52620512.039369285</v>
      </c>
      <c r="CE30" s="211">
        <f>SUM(CB30:CD30)</f>
        <v>129118338.17800757</v>
      </c>
      <c r="CF30" s="212"/>
      <c r="CG30" s="535">
        <f>SUM(CG21:CG29)</f>
        <v>77742617.97322616</v>
      </c>
      <c r="CH30" s="420">
        <f>SUM(CH21:CH29)</f>
        <v>98877260.203027278</v>
      </c>
      <c r="CI30" s="420">
        <f>SUM(CI21:CI29)</f>
        <v>122343267.28319211</v>
      </c>
      <c r="CJ30" s="233">
        <f>SUM(CG30:CI30)</f>
        <v>298963145.45944554</v>
      </c>
      <c r="CK30" s="212"/>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row>
    <row r="31" spans="1:179" s="55" customFormat="1" ht="4.5" customHeight="1" x14ac:dyDescent="0.15">
      <c r="A31" s="189"/>
      <c r="B31" s="190"/>
      <c r="C31" s="191"/>
      <c r="D31" s="192"/>
      <c r="E31" s="193"/>
      <c r="F31" s="234"/>
      <c r="G31" s="196"/>
      <c r="H31" s="196"/>
      <c r="I31" s="196"/>
      <c r="J31" s="196"/>
      <c r="K31" s="196"/>
      <c r="L31" s="196"/>
      <c r="M31" s="196"/>
      <c r="N31" s="196"/>
      <c r="O31" s="196"/>
      <c r="P31" s="196"/>
      <c r="Q31" s="196"/>
      <c r="R31" s="196"/>
      <c r="S31" s="196"/>
      <c r="T31" s="197"/>
      <c r="U31" s="235"/>
      <c r="V31" s="192"/>
      <c r="W31" s="196"/>
      <c r="X31" s="193"/>
      <c r="Y31" s="235"/>
      <c r="Z31" s="580"/>
      <c r="AA31" s="189"/>
      <c r="AB31" s="192"/>
      <c r="AC31" s="196"/>
      <c r="AD31" s="196"/>
      <c r="AE31" s="196"/>
      <c r="AF31" s="193"/>
      <c r="AG31" s="192"/>
      <c r="AH31" s="196"/>
      <c r="AI31" s="196"/>
      <c r="AJ31" s="196"/>
      <c r="AK31" s="193"/>
      <c r="AL31" s="192"/>
      <c r="AM31" s="196"/>
      <c r="AN31" s="196"/>
      <c r="AO31" s="196"/>
      <c r="AP31" s="193"/>
      <c r="AQ31" s="192"/>
      <c r="AR31" s="196"/>
      <c r="AS31" s="196"/>
      <c r="AT31" s="196"/>
      <c r="AU31" s="193"/>
      <c r="AV31" s="189"/>
      <c r="AW31" s="192"/>
      <c r="AX31" s="196"/>
      <c r="AY31" s="196"/>
      <c r="AZ31" s="196"/>
      <c r="BA31" s="193"/>
      <c r="BB31" s="192"/>
      <c r="BC31" s="196"/>
      <c r="BD31" s="196"/>
      <c r="BE31" s="196"/>
      <c r="BF31" s="193"/>
      <c r="BG31" s="192"/>
      <c r="BH31" s="196"/>
      <c r="BI31" s="196"/>
      <c r="BJ31" s="196"/>
      <c r="BK31" s="193"/>
      <c r="BL31" s="192"/>
      <c r="BM31" s="196"/>
      <c r="BN31" s="196"/>
      <c r="BO31" s="196"/>
      <c r="BP31" s="193"/>
      <c r="BQ31" s="235"/>
      <c r="BR31" s="192"/>
      <c r="BS31" s="196"/>
      <c r="BT31" s="196"/>
      <c r="BU31" s="196"/>
      <c r="BV31" s="193"/>
      <c r="BW31" s="192"/>
      <c r="BX31" s="196"/>
      <c r="BY31" s="196"/>
      <c r="BZ31" s="196"/>
      <c r="CA31" s="193"/>
      <c r="CB31" s="192"/>
      <c r="CC31" s="196"/>
      <c r="CD31" s="196"/>
      <c r="CE31" s="196"/>
      <c r="CF31" s="193"/>
      <c r="CG31" s="192"/>
      <c r="CH31" s="196"/>
      <c r="CI31" s="196"/>
      <c r="CJ31" s="196"/>
      <c r="CK31" s="193"/>
    </row>
    <row r="32" spans="1:179" s="57" customFormat="1" ht="9.75" customHeight="1" x14ac:dyDescent="0.15">
      <c r="A32" s="486" t="s">
        <v>220</v>
      </c>
      <c r="B32" s="125"/>
      <c r="C32" s="202"/>
      <c r="D32" s="630"/>
      <c r="E32" s="631"/>
      <c r="F32" s="489"/>
      <c r="G32" s="490"/>
      <c r="H32" s="490"/>
      <c r="I32" s="490"/>
      <c r="J32" s="210"/>
      <c r="K32" s="490"/>
      <c r="L32" s="490"/>
      <c r="M32" s="490"/>
      <c r="N32" s="490"/>
      <c r="O32" s="210"/>
      <c r="P32" s="490"/>
      <c r="Q32" s="490"/>
      <c r="R32" s="490"/>
      <c r="S32" s="490"/>
      <c r="T32" s="236"/>
      <c r="U32" s="232"/>
      <c r="V32" s="237"/>
      <c r="W32" s="210"/>
      <c r="X32" s="238"/>
      <c r="Y32" s="232"/>
      <c r="Z32" s="577"/>
      <c r="AA32" s="618"/>
      <c r="AB32" s="594"/>
      <c r="AC32" s="490"/>
      <c r="AD32" s="490"/>
      <c r="AE32" s="490"/>
      <c r="AF32" s="212"/>
      <c r="AG32" s="594"/>
      <c r="AH32" s="490"/>
      <c r="AI32" s="490"/>
      <c r="AJ32" s="490"/>
      <c r="AK32" s="212"/>
      <c r="AL32" s="594"/>
      <c r="AM32" s="490"/>
      <c r="AN32" s="490"/>
      <c r="AO32" s="490"/>
      <c r="AP32" s="212"/>
      <c r="AQ32" s="594"/>
      <c r="AR32" s="490"/>
      <c r="AS32" s="490"/>
      <c r="AT32" s="490"/>
      <c r="AU32" s="212"/>
      <c r="AV32" s="618"/>
      <c r="AW32" s="594"/>
      <c r="AX32" s="490"/>
      <c r="AY32" s="490"/>
      <c r="AZ32" s="490"/>
      <c r="BA32" s="212"/>
      <c r="BB32" s="594"/>
      <c r="BC32" s="490"/>
      <c r="BD32" s="490"/>
      <c r="BE32" s="490"/>
      <c r="BF32" s="212"/>
      <c r="BG32" s="594"/>
      <c r="BH32" s="490"/>
      <c r="BI32" s="490"/>
      <c r="BJ32" s="490"/>
      <c r="BK32" s="212"/>
      <c r="BL32" s="594"/>
      <c r="BM32" s="490"/>
      <c r="BN32" s="490"/>
      <c r="BO32" s="490"/>
      <c r="BP32" s="212"/>
      <c r="BQ32" s="232"/>
      <c r="BR32" s="594"/>
      <c r="BS32" s="490"/>
      <c r="BT32" s="490"/>
      <c r="BU32" s="490"/>
      <c r="BV32" s="212"/>
      <c r="BW32" s="594"/>
      <c r="BX32" s="490"/>
      <c r="BY32" s="490"/>
      <c r="BZ32" s="490"/>
      <c r="CA32" s="212"/>
      <c r="CB32" s="594"/>
      <c r="CC32" s="490"/>
      <c r="CD32" s="490"/>
      <c r="CE32" s="490"/>
      <c r="CF32" s="212"/>
      <c r="CG32" s="594"/>
      <c r="CH32" s="490"/>
      <c r="CI32" s="490"/>
      <c r="CJ32" s="490"/>
      <c r="CK32" s="212"/>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row>
    <row r="33" spans="1:179" s="57" customFormat="1" ht="9.75" customHeight="1" x14ac:dyDescent="0.15">
      <c r="A33" s="488" t="s">
        <v>153</v>
      </c>
      <c r="B33" s="239">
        <v>0</v>
      </c>
      <c r="C33" s="285">
        <v>0.1</v>
      </c>
      <c r="D33" s="228"/>
      <c r="E33" s="624"/>
      <c r="F33" s="491">
        <f>SUM((IF(ISBLANK(D33),B33,D33))+(F34*(IF(ISBLANK(E33),C33,E33))))</f>
        <v>2000</v>
      </c>
      <c r="G33" s="492">
        <f>SUM((IF(ISBLANK(D33),B33,D33))+(G34*(IF(ISBLANK(E33),C33,E33))))</f>
        <v>2000</v>
      </c>
      <c r="H33" s="492">
        <f>SUM((IF(ISBLANK(D33),B33,D33))+(H34*(IF(ISBLANK(E33),C33,E33))))</f>
        <v>2246.4469955153331</v>
      </c>
      <c r="I33" s="492">
        <f>SUM((IF(ISBLANK(D33),B33,D33))+(I34*(IF(ISBLANK(E33),C33,E33))))</f>
        <v>3511.9801640132605</v>
      </c>
      <c r="J33" s="217">
        <f>SUM(AE33+AJ33+AO33+AT33)</f>
        <v>29275.281478585777</v>
      </c>
      <c r="K33" s="492">
        <f>SUM((IF(ISBLANK(D33),B33,D33))+(K34*(IF(ISBLANK(E33),C33,E33))))</f>
        <v>7253.8368313715173</v>
      </c>
      <c r="L33" s="492">
        <f>SUM((IF(ISBLANK(D33),B33,D33))+(L34*(IF(ISBLANK(E33),C33,E33))))</f>
        <v>16364.413727467962</v>
      </c>
      <c r="M33" s="492">
        <f>SUM((IF(ISBLANK(D33),B33,D33))+(M34*(IF(ISBLANK(E33),C33,E33))))</f>
        <v>36561.063949100746</v>
      </c>
      <c r="N33" s="492">
        <f>SUM((IF(ISBLANK(D33),B33,D33))+(N34*(IF(ISBLANK(E33),C33,E33))))</f>
        <v>78993.302990543423</v>
      </c>
      <c r="O33" s="217">
        <f>SUM(AZ33+BE33+BJ33+BO33)</f>
        <v>417517.85249545093</v>
      </c>
      <c r="P33" s="492">
        <f>SUM((IF(ISBLANK(D33),B33,D33))+(P34*(IF(ISBLANK(E33),C33,E33))))</f>
        <v>168656.27575167851</v>
      </c>
      <c r="Q33" s="492">
        <f>SUM((IF(ISBLANK(D33),B33,D33))+(Q34*(IF(ISBLANK(E33),C33,E33))))</f>
        <v>346487.94938913436</v>
      </c>
      <c r="R33" s="492">
        <f>SUM((IF(ISBLANK(D33),B33,D33))+(R34*(IF(ISBLANK(E33),C33,E33))))</f>
        <v>690803.51786382124</v>
      </c>
      <c r="S33" s="492">
        <f>SUM((IF(ISBLANK(D33),B33,D33))+(S34*(IF(ISBLANK(E33),C33,E33))))</f>
        <v>1338556.99969262</v>
      </c>
      <c r="T33" s="218">
        <f>SUM(BU33+BZ33+CE33+CJ33)</f>
        <v>7633514.2280917624</v>
      </c>
      <c r="U33" s="221"/>
      <c r="V33" s="239">
        <f>SUM((IF(ISBLANK(D33),B33,D33))+(V34*(IF(ISBLANK(E33),C33,E33))))</f>
        <v>88066006.468387663</v>
      </c>
      <c r="W33" s="217">
        <f>SUM((IF(ISBLANK(D33),B33,D33))+(W34*(IF(ISBLANK(E33),C33,E33))))</f>
        <v>127176625.16419679</v>
      </c>
      <c r="X33" s="242">
        <f>SUM((IF(ISBLANK(D33),B33,D33))+(X34*(IF(ISBLANK(E33),C33,E33))))</f>
        <v>179440252.21451348</v>
      </c>
      <c r="Y33" s="221"/>
      <c r="Z33" s="578">
        <f>SUM(11102+10095+8000)</f>
        <v>29197</v>
      </c>
      <c r="AA33" s="617"/>
      <c r="AB33" s="532">
        <f>F33</f>
        <v>2000</v>
      </c>
      <c r="AC33" s="492">
        <f>F33</f>
        <v>2000</v>
      </c>
      <c r="AD33" s="492">
        <f>F33</f>
        <v>2000</v>
      </c>
      <c r="AE33" s="492">
        <f t="shared" ref="AE33:AE43" si="98">SUM(AB33:AD33)</f>
        <v>6000</v>
      </c>
      <c r="AF33" s="222"/>
      <c r="AG33" s="532">
        <f>G33</f>
        <v>2000</v>
      </c>
      <c r="AH33" s="492">
        <f>G33</f>
        <v>2000</v>
      </c>
      <c r="AI33" s="492">
        <f>G33</f>
        <v>2000</v>
      </c>
      <c r="AJ33" s="492">
        <f t="shared" ref="AJ33:AJ46" si="99">SUM(AG33:AI33)</f>
        <v>6000</v>
      </c>
      <c r="AK33" s="222"/>
      <c r="AL33" s="532">
        <f>H33</f>
        <v>2246.4469955153331</v>
      </c>
      <c r="AM33" s="492">
        <f>H33</f>
        <v>2246.4469955153331</v>
      </c>
      <c r="AN33" s="492">
        <f>H33</f>
        <v>2246.4469955153331</v>
      </c>
      <c r="AO33" s="492">
        <f t="shared" ref="AO33:AO43" si="100">SUM(AL33:AN33)</f>
        <v>6739.3409865459998</v>
      </c>
      <c r="AP33" s="222"/>
      <c r="AQ33" s="532">
        <f>I33</f>
        <v>3511.9801640132605</v>
      </c>
      <c r="AR33" s="492">
        <f>I33</f>
        <v>3511.9801640132605</v>
      </c>
      <c r="AS33" s="492">
        <f>I33</f>
        <v>3511.9801640132605</v>
      </c>
      <c r="AT33" s="492">
        <f t="shared" ref="AT33:AT43" si="101">SUM(AQ33:AS33)</f>
        <v>10535.940492039781</v>
      </c>
      <c r="AU33" s="222"/>
      <c r="AV33" s="617"/>
      <c r="AW33" s="532">
        <f>K33</f>
        <v>7253.8368313715173</v>
      </c>
      <c r="AX33" s="492">
        <f>K33</f>
        <v>7253.8368313715173</v>
      </c>
      <c r="AY33" s="492">
        <f>K33</f>
        <v>7253.8368313715173</v>
      </c>
      <c r="AZ33" s="492">
        <f t="shared" ref="AZ33:AZ43" si="102">SUM(AW33:AY33)</f>
        <v>21761.510494114551</v>
      </c>
      <c r="BA33" s="222"/>
      <c r="BB33" s="532">
        <f>L33</f>
        <v>16364.413727467962</v>
      </c>
      <c r="BC33" s="492">
        <f>L33</f>
        <v>16364.413727467962</v>
      </c>
      <c r="BD33" s="492">
        <f>L33</f>
        <v>16364.413727467962</v>
      </c>
      <c r="BE33" s="492">
        <f t="shared" ref="BE33:BE43" si="103">SUM(BB33:BD33)</f>
        <v>49093.241182403886</v>
      </c>
      <c r="BF33" s="222"/>
      <c r="BG33" s="532">
        <f>M33</f>
        <v>36561.063949100746</v>
      </c>
      <c r="BH33" s="492">
        <f>M33</f>
        <v>36561.063949100746</v>
      </c>
      <c r="BI33" s="492">
        <f>M33</f>
        <v>36561.063949100746</v>
      </c>
      <c r="BJ33" s="492">
        <f t="shared" ref="BJ33:BJ43" si="104">SUM(BG33:BI33)</f>
        <v>109683.19184730224</v>
      </c>
      <c r="BK33" s="222"/>
      <c r="BL33" s="532">
        <f>N33</f>
        <v>78993.302990543423</v>
      </c>
      <c r="BM33" s="492">
        <f>N33</f>
        <v>78993.302990543423</v>
      </c>
      <c r="BN33" s="492">
        <f>N33</f>
        <v>78993.302990543423</v>
      </c>
      <c r="BO33" s="492">
        <f t="shared" ref="BO33:BO43" si="105">SUM(BL33:BN33)</f>
        <v>236979.90897163027</v>
      </c>
      <c r="BP33" s="222"/>
      <c r="BQ33" s="221"/>
      <c r="BR33" s="532">
        <f>P33</f>
        <v>168656.27575167851</v>
      </c>
      <c r="BS33" s="492">
        <f>P33</f>
        <v>168656.27575167851</v>
      </c>
      <c r="BT33" s="492">
        <f>P33</f>
        <v>168656.27575167851</v>
      </c>
      <c r="BU33" s="492">
        <f t="shared" ref="BU33:BU43" si="106">SUM(BR33:BT33)</f>
        <v>505968.82725503552</v>
      </c>
      <c r="BV33" s="222"/>
      <c r="BW33" s="532">
        <f>Q33</f>
        <v>346487.94938913436</v>
      </c>
      <c r="BX33" s="492">
        <f>Q33</f>
        <v>346487.94938913436</v>
      </c>
      <c r="BY33" s="492">
        <f>Q33</f>
        <v>346487.94938913436</v>
      </c>
      <c r="BZ33" s="492">
        <f t="shared" ref="BZ33:BZ43" si="107">SUM(BW33:BY33)</f>
        <v>1039463.8481674031</v>
      </c>
      <c r="CA33" s="222"/>
      <c r="CB33" s="532">
        <f>R33</f>
        <v>690803.51786382124</v>
      </c>
      <c r="CC33" s="492">
        <f>R33</f>
        <v>690803.51786382124</v>
      </c>
      <c r="CD33" s="492">
        <f>R33</f>
        <v>690803.51786382124</v>
      </c>
      <c r="CE33" s="492">
        <f t="shared" ref="CE33:CE43" si="108">SUM(CB33:CD33)</f>
        <v>2072410.5535914637</v>
      </c>
      <c r="CF33" s="222"/>
      <c r="CG33" s="532">
        <f>S33</f>
        <v>1338556.99969262</v>
      </c>
      <c r="CH33" s="492">
        <f>S33</f>
        <v>1338556.99969262</v>
      </c>
      <c r="CI33" s="492">
        <f>S33</f>
        <v>1338556.99969262</v>
      </c>
      <c r="CJ33" s="492">
        <f t="shared" ref="CJ33:CJ43" si="109">SUM(CG33:CI33)</f>
        <v>4015670.9990778603</v>
      </c>
      <c r="CK33" s="222"/>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row>
    <row r="34" spans="1:179" s="57" customFormat="1" ht="9.75" customHeight="1" x14ac:dyDescent="0.15">
      <c r="A34" s="488" t="s">
        <v>154</v>
      </c>
      <c r="B34" s="167">
        <v>0.2</v>
      </c>
      <c r="C34" s="285">
        <v>-1.4999999999999999E-2</v>
      </c>
      <c r="D34" s="291"/>
      <c r="E34" s="624"/>
      <c r="F34" s="226">
        <v>20000</v>
      </c>
      <c r="G34" s="227">
        <v>20000</v>
      </c>
      <c r="H34" s="492">
        <f>SUM((IF(ISBLANK(D34),B34,D34)*(H30/3))+(G34))</f>
        <v>22464.46995515333</v>
      </c>
      <c r="I34" s="492">
        <f>SUM(IF(ISBLANK(D34),      (IF((1*(IF(ISBLANK(E34),C34,E34)) + B34) &lt; 0,     0,     (1*(IF(ISBLANK(E34),C34,E34)) + B34)   )),       (IF((1*(IF(ISBLANK(E34),C34,E34)) + D34) &lt; 0,     0,     (1*(IF(ISBLANK(E34),C34,E34)) + D34)   ))  )       *   (I30/3)+(H34))</f>
        <v>35119.801640132602</v>
      </c>
      <c r="J34" s="217">
        <f t="shared" ref="J34:J45" si="110">SUM(AE34+AJ34+AO34+AT34)</f>
        <v>292752.8147858578</v>
      </c>
      <c r="K34" s="492">
        <f>SUM(IF(ISBLANK(D34),      (IF((2*(IF(ISBLANK(E34),C34,E34)) + B34) &lt; 0,     0,     (2*(IF(ISBLANK(E34),C34,E34)) + B34)   )),       (IF((2*(IF(ISBLANK(E34),C34,E34)) + D34) &lt; 0,     0,     (2*(IF(ISBLANK(E34),C34,E34)) + D34)   ))  )       *   (K30/3)+(I34))</f>
        <v>72538.368313715167</v>
      </c>
      <c r="L34" s="492">
        <f>SUM(IF(ISBLANK(D34),      (IF((3*(IF(ISBLANK(E34),C34,E34)) + B34) &lt; 0,     0,     (3*(IF(ISBLANK(E34),C34,E34)) + B34)   )),       (IF((3*(IF(ISBLANK(E34),C34,E34)) + D34) &lt; 0,     0,     (3*(IF(ISBLANK(E34),C34,E34)) + D34)   ))  )       *   (L30/3)+(K34))</f>
        <v>163644.13727467961</v>
      </c>
      <c r="M34" s="492">
        <f>SUM(IF(ISBLANK(D34),      (IF((4*(IF(ISBLANK(E34),C34,E34)) + B34) &lt; 0,     0,     (4*(IF(ISBLANK(E34),C34,E34)) + B34)   )),       (IF((4*(IF(ISBLANK(E34),C34,E34)) + D34) &lt; 0,     0,     (4*(IF(ISBLANK(E34),C34,E34)) + D34)   ))  )       *   (M30/3)+(L34))</f>
        <v>365610.63949100743</v>
      </c>
      <c r="N34" s="492">
        <f>SUM(IF(ISBLANK(D34),      (IF((5*(IF(ISBLANK(E34),C34,E34)) + B34) &lt; 0,     0,     (5*(IF(ISBLANK(E34),C34,E34)) + B34)   )),       (IF((5*(IF(ISBLANK(E34),C34,E34)) + D34) &lt; 0,     0,     (5*(IF(ISBLANK(E34),C34,E34)) + D34)   ))  )       *   (N30/3)+(M34))</f>
        <v>789933.02990543423</v>
      </c>
      <c r="O34" s="217">
        <f t="shared" ref="O34:O45" si="111">SUM(AZ34+BE34+BJ34+BO34)</f>
        <v>4175178.5249545095</v>
      </c>
      <c r="P34" s="492">
        <f>SUM(IF(ISBLANK(D34),      (IF((6*(IF(ISBLANK(E34),C34,E34)) + B34) &lt; 0,     0,     (6*(IF(ISBLANK(E34),C34,E34)) + B34)   )),       (IF((6*(IF(ISBLANK(E34),C34,E34)) + D34) &lt; 0,     0,     (6*(IF(ISBLANK(E34),C34,E34)) + D34)   ))  )       *   (P30/3)+(N34))</f>
        <v>1686562.7575167851</v>
      </c>
      <c r="Q34" s="492">
        <f>SUM(IF(ISBLANK(D34),      (IF((7*(IF(ISBLANK(E34),C34,E34)) + B34) &lt; 0,     0,     (7*(IF(ISBLANK(E34),C34,E34)) + B34)   )),       (IF((7*(IF(ISBLANK(E34),C34,E34)) + D34) &lt; 0,     0,     (7*(IF(ISBLANK(E34),C34,E34)) + D34)   ))  )       *   (Q30/3)+(P34))</f>
        <v>3464879.4938913435</v>
      </c>
      <c r="R34" s="492">
        <f>SUM(IF(ISBLANK(D34),      (IF((8*(IF(ISBLANK(E34),C34,E34)) + B34) &lt; 0,     0,     (8*(IF(ISBLANK(E34),C34,E34)) + B34)   )),       (IF((8*(IF(ISBLANK(E34),C34,E34)) + D34) &lt; 0,     0,     (8*(IF(ISBLANK(E34),C34,E34)) + D34)   ))  )       *   (R30/3)+(Q34))</f>
        <v>6908035.1786382124</v>
      </c>
      <c r="S34" s="492">
        <f>SUM(IF(ISBLANK(D34),      (IF((9*(IF(ISBLANK(E34),C34,E34)) + B34) &lt; 0,     0,     (9*(IF(ISBLANK(E34),C34,E34)) + B34)   )),       (IF((9*(IF(ISBLANK(E34),C34,E34)) + D34) &lt; 0,     0,     (9*(IF(ISBLANK(E34),C34,E34)) + D34)   ))  )       *   (S30/3)+(R34))</f>
        <v>13385569.9969262</v>
      </c>
      <c r="T34" s="218">
        <f t="shared" ref="T34:T45" si="112">SUM(BU34+BZ34+CE34+CJ34)</f>
        <v>76335142.280917615</v>
      </c>
      <c r="U34" s="221"/>
      <c r="V34" s="239">
        <f>SUM(IF(ISBLANK(D34),      (IF((10*(IF(ISBLANK(E34),C34,E34)) + B34) &lt; 0,     0,     (10*(IF(ISBLANK(E34),C34,E34)) + B34)   )),       (IF((10*(IF(ISBLANK(E34),C34,E34)) + D34) &lt; 0,     0,     (10*(IF(ISBLANK(E34),C34,E34)) + D34)   ))  )       *   (V30/3)+(S34))*12</f>
        <v>880660064.68387663</v>
      </c>
      <c r="W34" s="217">
        <f>SUM(IF(ISBLANK(D34),      (IF((11*(IF(ISBLANK(E34),C34,E34)) + B34) &lt; 0,     0,     (11*(IF(ISBLANK(E34),C34,E34)) + B34)   )),       (IF((11*(IF(ISBLANK(E34),C34,E34)) + D34) &lt; 0,     0,     (11*(IF(ISBLANK(E34),C34,E34)) + D34)   ))  )       *   (W30/12)+(V34/12))*12</f>
        <v>1271766251.6419678</v>
      </c>
      <c r="X34" s="242">
        <f>SUM(IF(ISBLANK(D34),      (IF((12*(IF(ISBLANK(E34),C34,E34)) + B34) &lt; 0,     0,     (12*(IF(ISBLANK(E34),C34,E34)) + B34)   )),       (IF((12*(IF(ISBLANK(E34),C34,E34)) + D34) &lt; 0,     0,     (12*(IF(ISBLANK(E34),C34,E34)) + D34)   ))  )       *   (X30/12)+(W34/12))*12</f>
        <v>1794402522.1451347</v>
      </c>
      <c r="Y34" s="221"/>
      <c r="Z34" s="578">
        <f>SUM(30664+342396+71683+36198+34170+34090+28752+50203+25449+25629+23773+25295+25295+20000)</f>
        <v>773597</v>
      </c>
      <c r="AA34" s="617"/>
      <c r="AB34" s="532">
        <f t="shared" ref="AB34:AB46" si="113">F34</f>
        <v>20000</v>
      </c>
      <c r="AC34" s="492">
        <f t="shared" ref="AC34:AC46" si="114">F34</f>
        <v>20000</v>
      </c>
      <c r="AD34" s="492">
        <f t="shared" ref="AD34:AD46" si="115">F34</f>
        <v>20000</v>
      </c>
      <c r="AE34" s="492">
        <f t="shared" si="98"/>
        <v>60000</v>
      </c>
      <c r="AF34" s="222"/>
      <c r="AG34" s="532">
        <f t="shared" ref="AG34:AG46" si="116">G34</f>
        <v>20000</v>
      </c>
      <c r="AH34" s="492">
        <f t="shared" ref="AH34:AH46" si="117">G34</f>
        <v>20000</v>
      </c>
      <c r="AI34" s="492">
        <f t="shared" ref="AI34:AI46" si="118">G34</f>
        <v>20000</v>
      </c>
      <c r="AJ34" s="492">
        <f t="shared" si="99"/>
        <v>60000</v>
      </c>
      <c r="AK34" s="222"/>
      <c r="AL34" s="532">
        <f t="shared" ref="AL34:AL46" si="119">H34</f>
        <v>22464.46995515333</v>
      </c>
      <c r="AM34" s="492">
        <f t="shared" ref="AM34:AM46" si="120">H34</f>
        <v>22464.46995515333</v>
      </c>
      <c r="AN34" s="492">
        <f t="shared" ref="AN34:AN46" si="121">H34</f>
        <v>22464.46995515333</v>
      </c>
      <c r="AO34" s="492">
        <f t="shared" si="100"/>
        <v>67393.409865459995</v>
      </c>
      <c r="AP34" s="222"/>
      <c r="AQ34" s="532">
        <f t="shared" ref="AQ34:AQ46" si="122">I34</f>
        <v>35119.801640132602</v>
      </c>
      <c r="AR34" s="492">
        <f t="shared" ref="AR34:AR46" si="123">I34</f>
        <v>35119.801640132602</v>
      </c>
      <c r="AS34" s="492">
        <f t="shared" ref="AS34:AS46" si="124">I34</f>
        <v>35119.801640132602</v>
      </c>
      <c r="AT34" s="492">
        <f t="shared" si="101"/>
        <v>105359.40492039781</v>
      </c>
      <c r="AU34" s="222"/>
      <c r="AV34" s="617"/>
      <c r="AW34" s="532">
        <f t="shared" ref="AW34:AW46" si="125">K34</f>
        <v>72538.368313715167</v>
      </c>
      <c r="AX34" s="492">
        <f t="shared" ref="AX34:AX46" si="126">K34</f>
        <v>72538.368313715167</v>
      </c>
      <c r="AY34" s="492">
        <f t="shared" ref="AY34:AY46" si="127">K34</f>
        <v>72538.368313715167</v>
      </c>
      <c r="AZ34" s="492">
        <f t="shared" si="102"/>
        <v>217615.10494114552</v>
      </c>
      <c r="BA34" s="222"/>
      <c r="BB34" s="532">
        <f t="shared" ref="BB34:BB46" si="128">L34</f>
        <v>163644.13727467961</v>
      </c>
      <c r="BC34" s="492">
        <f t="shared" ref="BC34:BC46" si="129">L34</f>
        <v>163644.13727467961</v>
      </c>
      <c r="BD34" s="492">
        <f t="shared" ref="BD34:BD46" si="130">L34</f>
        <v>163644.13727467961</v>
      </c>
      <c r="BE34" s="492">
        <f t="shared" si="103"/>
        <v>490932.41182403883</v>
      </c>
      <c r="BF34" s="222"/>
      <c r="BG34" s="532">
        <f t="shared" ref="BG34:BG46" si="131">M34</f>
        <v>365610.63949100743</v>
      </c>
      <c r="BH34" s="492">
        <f t="shared" ref="BH34:BH46" si="132">M34</f>
        <v>365610.63949100743</v>
      </c>
      <c r="BI34" s="492">
        <f t="shared" ref="BI34:BI46" si="133">M34</f>
        <v>365610.63949100743</v>
      </c>
      <c r="BJ34" s="492">
        <f t="shared" si="104"/>
        <v>1096831.9184730223</v>
      </c>
      <c r="BK34" s="222"/>
      <c r="BL34" s="532">
        <f t="shared" ref="BL34:BL46" si="134">N34</f>
        <v>789933.02990543423</v>
      </c>
      <c r="BM34" s="492">
        <f t="shared" ref="BM34:BM46" si="135">N34</f>
        <v>789933.02990543423</v>
      </c>
      <c r="BN34" s="492">
        <f t="shared" ref="BN34:BN46" si="136">N34</f>
        <v>789933.02990543423</v>
      </c>
      <c r="BO34" s="492">
        <f t="shared" si="105"/>
        <v>2369799.0897163027</v>
      </c>
      <c r="BP34" s="222"/>
      <c r="BQ34" s="221"/>
      <c r="BR34" s="532">
        <f t="shared" ref="BR34:BR46" si="137">P34</f>
        <v>1686562.7575167851</v>
      </c>
      <c r="BS34" s="492">
        <f t="shared" ref="BS34:BS43" si="138">P34</f>
        <v>1686562.7575167851</v>
      </c>
      <c r="BT34" s="492">
        <f t="shared" ref="BT34:BT46" si="139">P34</f>
        <v>1686562.7575167851</v>
      </c>
      <c r="BU34" s="492">
        <f t="shared" si="106"/>
        <v>5059688.2725503556</v>
      </c>
      <c r="BV34" s="222"/>
      <c r="BW34" s="532">
        <f t="shared" ref="BW34:BW46" si="140">Q34</f>
        <v>3464879.4938913435</v>
      </c>
      <c r="BX34" s="492">
        <f t="shared" ref="BX34:BX46" si="141">Q34</f>
        <v>3464879.4938913435</v>
      </c>
      <c r="BY34" s="492">
        <f t="shared" ref="BY34:BY46" si="142">Q34</f>
        <v>3464879.4938913435</v>
      </c>
      <c r="BZ34" s="492">
        <f t="shared" si="107"/>
        <v>10394638.48167403</v>
      </c>
      <c r="CA34" s="222"/>
      <c r="CB34" s="532">
        <f t="shared" ref="CB34:CB46" si="143">R34</f>
        <v>6908035.1786382124</v>
      </c>
      <c r="CC34" s="492">
        <f t="shared" ref="CC34:CC46" si="144">R34</f>
        <v>6908035.1786382124</v>
      </c>
      <c r="CD34" s="492">
        <f t="shared" ref="CD34:CD46" si="145">R34</f>
        <v>6908035.1786382124</v>
      </c>
      <c r="CE34" s="492">
        <f t="shared" si="108"/>
        <v>20724105.535914637</v>
      </c>
      <c r="CF34" s="222"/>
      <c r="CG34" s="532">
        <f t="shared" ref="CG34:CG46" si="146">S34</f>
        <v>13385569.9969262</v>
      </c>
      <c r="CH34" s="492">
        <f t="shared" ref="CH34:CH46" si="147">S34</f>
        <v>13385569.9969262</v>
      </c>
      <c r="CI34" s="492">
        <f t="shared" ref="CI34:CI46" si="148">S34</f>
        <v>13385569.9969262</v>
      </c>
      <c r="CJ34" s="492">
        <f t="shared" si="109"/>
        <v>40156709.990778595</v>
      </c>
      <c r="CK34" s="222"/>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row>
    <row r="35" spans="1:179" s="57" customFormat="1" ht="9.75" customHeight="1" x14ac:dyDescent="0.15">
      <c r="A35" s="488" t="s">
        <v>155</v>
      </c>
      <c r="B35" s="239">
        <v>0</v>
      </c>
      <c r="C35" s="285">
        <v>0.02</v>
      </c>
      <c r="D35" s="228"/>
      <c r="E35" s="624"/>
      <c r="F35" s="491">
        <f>SUM((IF(ISBLANK(D35),B35,D35))+(F34*(IF(ISBLANK(E35),C35,E35))))</f>
        <v>400</v>
      </c>
      <c r="G35" s="492">
        <f>SUM((IF(ISBLANK(D35),B35,D35))+(G34*(IF(ISBLANK(E35),C35,E35))))</f>
        <v>400</v>
      </c>
      <c r="H35" s="492">
        <f>SUM((IF(ISBLANK(D35),B35,D35))+(H34*(IF(ISBLANK(E35),C35,E35))))</f>
        <v>449.28939910306661</v>
      </c>
      <c r="I35" s="492">
        <f>SUM((IF(ISBLANK(D35),B35,D35))+(I34*(IF(ISBLANK(E35),C35,E35))))</f>
        <v>702.39603280265203</v>
      </c>
      <c r="J35" s="217">
        <f t="shared" si="110"/>
        <v>5855.056295717156</v>
      </c>
      <c r="K35" s="492">
        <f>SUM((IF(ISBLANK(D35),B35,D35))+(K34*(IF(ISBLANK(E35),C35,E35))))</f>
        <v>1450.7673662743034</v>
      </c>
      <c r="L35" s="492">
        <f>SUM((IF(ISBLANK(D35),B35,D35))+(L34*(IF(ISBLANK(E35),C35,E35))))</f>
        <v>3272.8827454935922</v>
      </c>
      <c r="M35" s="492">
        <f>SUM((IF(ISBLANK(D35),B35,D35))+(M34*(IF(ISBLANK(E35),C35,E35))))</f>
        <v>7312.2127898201488</v>
      </c>
      <c r="N35" s="492">
        <f>SUM((IF(ISBLANK(D35),B35,D35))+(N34*(IF(ISBLANK(E35),C35,E35))))</f>
        <v>15798.660598108685</v>
      </c>
      <c r="O35" s="217">
        <f t="shared" si="111"/>
        <v>83503.570499090187</v>
      </c>
      <c r="P35" s="492">
        <f>SUM((IF(ISBLANK(D35),B35,D35))+(P34*(IF(ISBLANK(E35),C35,E35))))</f>
        <v>33731.255150335703</v>
      </c>
      <c r="Q35" s="492">
        <f>SUM((IF(ISBLANK(D35),B35,D35))+(Q34*(IF(ISBLANK(E35),C35,E35))))</f>
        <v>69297.589877826875</v>
      </c>
      <c r="R35" s="492">
        <f>SUM((IF(ISBLANK(D35),B35,D35))+(R34*(IF(ISBLANK(E35),C35,E35))))</f>
        <v>138160.70357276424</v>
      </c>
      <c r="S35" s="492">
        <f>SUM((IF(ISBLANK(D35),B35,D35))+(S34*(IF(ISBLANK(E35),C35,E35))))</f>
        <v>267711.399938524</v>
      </c>
      <c r="T35" s="218">
        <f t="shared" si="112"/>
        <v>1526702.8456183525</v>
      </c>
      <c r="U35" s="221"/>
      <c r="V35" s="239">
        <f>SUM((IF(ISBLANK(D35),B35,D35))+(V34*(IF(ISBLANK(E35),C35,E35))))</f>
        <v>17613201.293677531</v>
      </c>
      <c r="W35" s="217">
        <f>SUM((IF(ISBLANK(D35),B35,D35))+(W34*(IF(ISBLANK(E35),C35,E35))))</f>
        <v>25435325.032839358</v>
      </c>
      <c r="X35" s="242">
        <f>SUM((IF(ISBLANK(D35),B35,D35))+(X34*(IF(ISBLANK(E35),C35,E35))))</f>
        <v>35888050.442902692</v>
      </c>
      <c r="Y35" s="221"/>
      <c r="Z35" s="578">
        <v>4000</v>
      </c>
      <c r="AA35" s="617"/>
      <c r="AB35" s="532">
        <f t="shared" si="113"/>
        <v>400</v>
      </c>
      <c r="AC35" s="492">
        <f t="shared" si="114"/>
        <v>400</v>
      </c>
      <c r="AD35" s="492">
        <f t="shared" si="115"/>
        <v>400</v>
      </c>
      <c r="AE35" s="492">
        <f t="shared" si="98"/>
        <v>1200</v>
      </c>
      <c r="AF35" s="222"/>
      <c r="AG35" s="532">
        <f t="shared" si="116"/>
        <v>400</v>
      </c>
      <c r="AH35" s="492">
        <f t="shared" si="117"/>
        <v>400</v>
      </c>
      <c r="AI35" s="492">
        <f t="shared" si="118"/>
        <v>400</v>
      </c>
      <c r="AJ35" s="492">
        <f t="shared" si="99"/>
        <v>1200</v>
      </c>
      <c r="AK35" s="222"/>
      <c r="AL35" s="532">
        <f t="shared" si="119"/>
        <v>449.28939910306661</v>
      </c>
      <c r="AM35" s="492">
        <f t="shared" si="120"/>
        <v>449.28939910306661</v>
      </c>
      <c r="AN35" s="492">
        <f t="shared" si="121"/>
        <v>449.28939910306661</v>
      </c>
      <c r="AO35" s="492">
        <f t="shared" si="100"/>
        <v>1347.8681973091998</v>
      </c>
      <c r="AP35" s="222"/>
      <c r="AQ35" s="532">
        <f t="shared" si="122"/>
        <v>702.39603280265203</v>
      </c>
      <c r="AR35" s="492">
        <f t="shared" si="123"/>
        <v>702.39603280265203</v>
      </c>
      <c r="AS35" s="492">
        <f t="shared" si="124"/>
        <v>702.39603280265203</v>
      </c>
      <c r="AT35" s="492">
        <f t="shared" si="101"/>
        <v>2107.1880984079562</v>
      </c>
      <c r="AU35" s="222"/>
      <c r="AV35" s="617"/>
      <c r="AW35" s="532">
        <f t="shared" si="125"/>
        <v>1450.7673662743034</v>
      </c>
      <c r="AX35" s="492">
        <f t="shared" si="126"/>
        <v>1450.7673662743034</v>
      </c>
      <c r="AY35" s="492">
        <f t="shared" si="127"/>
        <v>1450.7673662743034</v>
      </c>
      <c r="AZ35" s="492">
        <f t="shared" si="102"/>
        <v>4352.30209882291</v>
      </c>
      <c r="BA35" s="222"/>
      <c r="BB35" s="532">
        <f t="shared" si="128"/>
        <v>3272.8827454935922</v>
      </c>
      <c r="BC35" s="492">
        <f t="shared" si="129"/>
        <v>3272.8827454935922</v>
      </c>
      <c r="BD35" s="492">
        <f t="shared" si="130"/>
        <v>3272.8827454935922</v>
      </c>
      <c r="BE35" s="492">
        <f t="shared" si="103"/>
        <v>9818.6482364807762</v>
      </c>
      <c r="BF35" s="222"/>
      <c r="BG35" s="532">
        <f t="shared" si="131"/>
        <v>7312.2127898201488</v>
      </c>
      <c r="BH35" s="492">
        <f t="shared" si="132"/>
        <v>7312.2127898201488</v>
      </c>
      <c r="BI35" s="492">
        <f t="shared" si="133"/>
        <v>7312.2127898201488</v>
      </c>
      <c r="BJ35" s="492">
        <f t="shared" si="104"/>
        <v>21936.638369460445</v>
      </c>
      <c r="BK35" s="222"/>
      <c r="BL35" s="532">
        <f t="shared" si="134"/>
        <v>15798.660598108685</v>
      </c>
      <c r="BM35" s="492">
        <f t="shared" si="135"/>
        <v>15798.660598108685</v>
      </c>
      <c r="BN35" s="492">
        <f t="shared" si="136"/>
        <v>15798.660598108685</v>
      </c>
      <c r="BO35" s="492">
        <f t="shared" si="105"/>
        <v>47395.981794326057</v>
      </c>
      <c r="BP35" s="222"/>
      <c r="BQ35" s="221"/>
      <c r="BR35" s="532">
        <f t="shared" si="137"/>
        <v>33731.255150335703</v>
      </c>
      <c r="BS35" s="492">
        <f t="shared" si="138"/>
        <v>33731.255150335703</v>
      </c>
      <c r="BT35" s="492">
        <f t="shared" si="139"/>
        <v>33731.255150335703</v>
      </c>
      <c r="BU35" s="492">
        <f t="shared" si="106"/>
        <v>101193.76545100712</v>
      </c>
      <c r="BV35" s="222"/>
      <c r="BW35" s="532">
        <f t="shared" si="140"/>
        <v>69297.589877826875</v>
      </c>
      <c r="BX35" s="492">
        <f t="shared" si="141"/>
        <v>69297.589877826875</v>
      </c>
      <c r="BY35" s="492">
        <f t="shared" si="142"/>
        <v>69297.589877826875</v>
      </c>
      <c r="BZ35" s="492">
        <f t="shared" si="107"/>
        <v>207892.76963348064</v>
      </c>
      <c r="CA35" s="222"/>
      <c r="CB35" s="532">
        <f t="shared" si="143"/>
        <v>138160.70357276424</v>
      </c>
      <c r="CC35" s="492">
        <f t="shared" si="144"/>
        <v>138160.70357276424</v>
      </c>
      <c r="CD35" s="492">
        <f t="shared" si="145"/>
        <v>138160.70357276424</v>
      </c>
      <c r="CE35" s="492">
        <f t="shared" si="108"/>
        <v>414482.11071829271</v>
      </c>
      <c r="CF35" s="222"/>
      <c r="CG35" s="532">
        <f t="shared" si="146"/>
        <v>267711.399938524</v>
      </c>
      <c r="CH35" s="492">
        <f t="shared" si="147"/>
        <v>267711.399938524</v>
      </c>
      <c r="CI35" s="492">
        <f t="shared" si="148"/>
        <v>267711.399938524</v>
      </c>
      <c r="CJ35" s="492">
        <f t="shared" si="109"/>
        <v>803134.19981557201</v>
      </c>
      <c r="CK35" s="222"/>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row>
    <row r="36" spans="1:179" s="57" customFormat="1" ht="9.75" customHeight="1" x14ac:dyDescent="0.15">
      <c r="A36" s="488" t="s">
        <v>156</v>
      </c>
      <c r="B36" s="239">
        <v>1500</v>
      </c>
      <c r="C36" s="285">
        <v>0.08</v>
      </c>
      <c r="D36" s="228"/>
      <c r="E36" s="624"/>
      <c r="F36" s="491">
        <f>SUM((IF(ISBLANK(D36),B36,D36))+(F34*(IF(ISBLANK(E36),C36,E36))))</f>
        <v>3100</v>
      </c>
      <c r="G36" s="492">
        <f>SUM((IF(ISBLANK(D36),B36,D36))+(G34*(IF(ISBLANK(E36),C36,E36))))</f>
        <v>3100</v>
      </c>
      <c r="H36" s="492">
        <f>SUM((IF(ISBLANK(D36),B36,D36))+(H34*(IF(ISBLANK(E36),C36,E36))))</f>
        <v>3297.1575964122667</v>
      </c>
      <c r="I36" s="492">
        <f>SUM((IF(ISBLANK(D36),B36,D36))+(I34*(IF(ISBLANK(E36),C36,E36))))</f>
        <v>4309.5841312106077</v>
      </c>
      <c r="J36" s="217">
        <f t="shared" si="110"/>
        <v>41420.22518286862</v>
      </c>
      <c r="K36" s="492">
        <f>SUM((IF(ISBLANK(D36),B36,D36))+(K34*(IF(ISBLANK(E36),C36,E36))))</f>
        <v>7303.0694650972137</v>
      </c>
      <c r="L36" s="492">
        <f>SUM((IF(ISBLANK(D36),B36,D36))+(L34*(IF(ISBLANK(E36),C36,E36))))</f>
        <v>14591.530981974369</v>
      </c>
      <c r="M36" s="492">
        <f>SUM((IF(ISBLANK(D36),B36,D36))+(M34*(IF(ISBLANK(E36),C36,E36))))</f>
        <v>30748.851159280595</v>
      </c>
      <c r="N36" s="492">
        <f>SUM((IF(ISBLANK(D36),B36,D36))+(N34*(IF(ISBLANK(E36),C36,E36))))</f>
        <v>64694.64239243474</v>
      </c>
      <c r="O36" s="217">
        <f t="shared" si="111"/>
        <v>352014.28199636075</v>
      </c>
      <c r="P36" s="492">
        <f>SUM((IF(ISBLANK(D36),B36,D36))+(P34*(IF(ISBLANK(E36),C36,E36))))</f>
        <v>136425.02060134281</v>
      </c>
      <c r="Q36" s="492">
        <f>SUM((IF(ISBLANK(D36),B36,D36))+(Q34*(IF(ISBLANK(E36),C36,E36))))</f>
        <v>278690.3595113075</v>
      </c>
      <c r="R36" s="492">
        <f>SUM((IF(ISBLANK(D36),B36,D36))+(R34*(IF(ISBLANK(E36),C36,E36))))</f>
        <v>554142.81429105694</v>
      </c>
      <c r="S36" s="492">
        <f>SUM((IF(ISBLANK(D36),B36,D36))+(S34*(IF(ISBLANK(E36),C36,E36))))</f>
        <v>1072345.599754096</v>
      </c>
      <c r="T36" s="218">
        <f t="shared" si="112"/>
        <v>6124811.3824734101</v>
      </c>
      <c r="U36" s="221"/>
      <c r="V36" s="239">
        <f>SUM((IF(ISBLANK(D36),B36,D36))+(V34*(IF(ISBLANK(E36),C36,E36))))</f>
        <v>70454305.174710125</v>
      </c>
      <c r="W36" s="217">
        <f>SUM((IF(ISBLANK(D36),B36,D36))+(W34*(IF(ISBLANK(E36),C36,E36))))</f>
        <v>101742800.13135743</v>
      </c>
      <c r="X36" s="242">
        <f>SUM((IF(ISBLANK(D36),B36,D36))+(X34*(IF(ISBLANK(E36),C36,E36))))</f>
        <v>143553701.77161077</v>
      </c>
      <c r="Y36" s="221"/>
      <c r="Z36" s="578">
        <f>SUM(3832+10734+12859+20000)</f>
        <v>47425</v>
      </c>
      <c r="AA36" s="617"/>
      <c r="AB36" s="532">
        <f t="shared" si="113"/>
        <v>3100</v>
      </c>
      <c r="AC36" s="492">
        <f t="shared" si="114"/>
        <v>3100</v>
      </c>
      <c r="AD36" s="492">
        <f t="shared" si="115"/>
        <v>3100</v>
      </c>
      <c r="AE36" s="492">
        <f t="shared" si="98"/>
        <v>9300</v>
      </c>
      <c r="AF36" s="222"/>
      <c r="AG36" s="532">
        <f t="shared" si="116"/>
        <v>3100</v>
      </c>
      <c r="AH36" s="492">
        <f t="shared" si="117"/>
        <v>3100</v>
      </c>
      <c r="AI36" s="492">
        <f t="shared" si="118"/>
        <v>3100</v>
      </c>
      <c r="AJ36" s="492">
        <f t="shared" si="99"/>
        <v>9300</v>
      </c>
      <c r="AK36" s="222"/>
      <c r="AL36" s="532">
        <f t="shared" si="119"/>
        <v>3297.1575964122667</v>
      </c>
      <c r="AM36" s="492">
        <f t="shared" si="120"/>
        <v>3297.1575964122667</v>
      </c>
      <c r="AN36" s="492">
        <f t="shared" si="121"/>
        <v>3297.1575964122667</v>
      </c>
      <c r="AO36" s="492">
        <f t="shared" si="100"/>
        <v>9891.4727892367991</v>
      </c>
      <c r="AP36" s="222"/>
      <c r="AQ36" s="532">
        <f t="shared" si="122"/>
        <v>4309.5841312106077</v>
      </c>
      <c r="AR36" s="492">
        <f t="shared" si="123"/>
        <v>4309.5841312106077</v>
      </c>
      <c r="AS36" s="492">
        <f t="shared" si="124"/>
        <v>4309.5841312106077</v>
      </c>
      <c r="AT36" s="492">
        <f t="shared" si="101"/>
        <v>12928.752393631823</v>
      </c>
      <c r="AU36" s="222"/>
      <c r="AV36" s="617"/>
      <c r="AW36" s="532">
        <f t="shared" si="125"/>
        <v>7303.0694650972137</v>
      </c>
      <c r="AX36" s="492">
        <f t="shared" si="126"/>
        <v>7303.0694650972137</v>
      </c>
      <c r="AY36" s="492">
        <f t="shared" si="127"/>
        <v>7303.0694650972137</v>
      </c>
      <c r="AZ36" s="492">
        <f t="shared" si="102"/>
        <v>21909.20839529164</v>
      </c>
      <c r="BA36" s="222"/>
      <c r="BB36" s="532">
        <f t="shared" si="128"/>
        <v>14591.530981974369</v>
      </c>
      <c r="BC36" s="492">
        <f>L36</f>
        <v>14591.530981974369</v>
      </c>
      <c r="BD36" s="492">
        <f t="shared" si="130"/>
        <v>14591.530981974369</v>
      </c>
      <c r="BE36" s="492">
        <f t="shared" si="103"/>
        <v>43774.592945923105</v>
      </c>
      <c r="BF36" s="222"/>
      <c r="BG36" s="532">
        <f t="shared" si="131"/>
        <v>30748.851159280595</v>
      </c>
      <c r="BH36" s="492">
        <f t="shared" si="132"/>
        <v>30748.851159280595</v>
      </c>
      <c r="BI36" s="492">
        <f t="shared" si="133"/>
        <v>30748.851159280595</v>
      </c>
      <c r="BJ36" s="492">
        <f t="shared" si="104"/>
        <v>92246.553477841779</v>
      </c>
      <c r="BK36" s="222"/>
      <c r="BL36" s="532">
        <f t="shared" si="134"/>
        <v>64694.64239243474</v>
      </c>
      <c r="BM36" s="492">
        <f t="shared" si="135"/>
        <v>64694.64239243474</v>
      </c>
      <c r="BN36" s="492">
        <f t="shared" si="136"/>
        <v>64694.64239243474</v>
      </c>
      <c r="BO36" s="492">
        <f t="shared" si="105"/>
        <v>194083.92717730423</v>
      </c>
      <c r="BP36" s="222"/>
      <c r="BQ36" s="221"/>
      <c r="BR36" s="532">
        <f t="shared" si="137"/>
        <v>136425.02060134281</v>
      </c>
      <c r="BS36" s="492">
        <f t="shared" si="138"/>
        <v>136425.02060134281</v>
      </c>
      <c r="BT36" s="492">
        <f t="shared" si="139"/>
        <v>136425.02060134281</v>
      </c>
      <c r="BU36" s="492">
        <f t="shared" si="106"/>
        <v>409275.06180402846</v>
      </c>
      <c r="BV36" s="222"/>
      <c r="BW36" s="532">
        <f t="shared" si="140"/>
        <v>278690.3595113075</v>
      </c>
      <c r="BX36" s="492">
        <f t="shared" si="141"/>
        <v>278690.3595113075</v>
      </c>
      <c r="BY36" s="492">
        <f t="shared" si="142"/>
        <v>278690.3595113075</v>
      </c>
      <c r="BZ36" s="492">
        <f t="shared" si="107"/>
        <v>836071.07853392255</v>
      </c>
      <c r="CA36" s="222"/>
      <c r="CB36" s="532">
        <f t="shared" si="143"/>
        <v>554142.81429105694</v>
      </c>
      <c r="CC36" s="492">
        <f t="shared" si="144"/>
        <v>554142.81429105694</v>
      </c>
      <c r="CD36" s="492">
        <f t="shared" si="145"/>
        <v>554142.81429105694</v>
      </c>
      <c r="CE36" s="492">
        <f t="shared" si="108"/>
        <v>1662428.4428731708</v>
      </c>
      <c r="CF36" s="222"/>
      <c r="CG36" s="532">
        <f t="shared" si="146"/>
        <v>1072345.599754096</v>
      </c>
      <c r="CH36" s="492">
        <f t="shared" si="147"/>
        <v>1072345.599754096</v>
      </c>
      <c r="CI36" s="492">
        <f t="shared" si="148"/>
        <v>1072345.599754096</v>
      </c>
      <c r="CJ36" s="492">
        <f t="shared" si="109"/>
        <v>3217036.799262288</v>
      </c>
      <c r="CK36" s="222"/>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row>
    <row r="37" spans="1:179" s="57" customFormat="1" ht="9.75" customHeight="1" x14ac:dyDescent="0.15">
      <c r="A37" s="488" t="s">
        <v>157</v>
      </c>
      <c r="B37" s="145">
        <v>0.3</v>
      </c>
      <c r="C37" s="126">
        <v>-1.4999999999999999E-2</v>
      </c>
      <c r="D37" s="291"/>
      <c r="E37" s="624"/>
      <c r="F37" s="491">
        <f>SUM((IF(AE21*((0*(IF(ISBLANK(E37),C37,E37)))+IF(ISBLANK(D37),B37,D37)) &lt; 0, 0, (AE21*((0*(IF(ISBLANK(E37),C37,E37)))+IF(ISBLANK(D37),B37,D37)))))/3)</f>
        <v>0</v>
      </c>
      <c r="G37" s="492">
        <f>SUM((IF(AJ21*((0*(IF(ISBLANK(E37),C37,E37)))+IF(ISBLANK(D37),B37,D37)) &lt; 0, 0, (AJ21*((0*(IF(ISBLANK(E37),C37,E37)))+IF(ISBLANK(D37),B37,D37)))))/3)</f>
        <v>0</v>
      </c>
      <c r="H37" s="492">
        <f>SUM((IF(AO21*((0*(IF(ISBLANK(E37),C37,E37)))+IF(ISBLANK(D37),B37,D37)) &lt; 0, 0, (AO21*((0*(IF(ISBLANK(E37),C37,E37)))+IF(ISBLANK(D37),B37,D37)))))/3)</f>
        <v>3696.7049327299969</v>
      </c>
      <c r="I37" s="492">
        <f>SUM((IF(AT21*((1*(IF(ISBLANK(E37),C37,E37)))+IF(ISBLANK(D37),B37,D37)) &lt; 0, 0, (AT21*((1*(IF(ISBLANK(E37),C37,E37)))+IF(ISBLANK(D37),B37,D37)))))/3)</f>
        <v>11822.07379082739</v>
      </c>
      <c r="J37" s="217">
        <f t="shared" si="110"/>
        <v>46556.336170672163</v>
      </c>
      <c r="K37" s="492">
        <f>SUM((IF(AZ21*((2*(IF(ISBLANK(E37),C37,E37)))+IF(ISBLANK(D37),B37,D37)) &lt; 0, 0, (AZ21*((2*(IF(ISBLANK(E37),C37,E37)))+IF(ISBLANK(D37),B37,D37)))))/3)</f>
        <v>28384.233192252268</v>
      </c>
      <c r="L37" s="492">
        <f>SUM((IF(BE21*((3*(IF(ISBLANK(E37),C37,E37)))+IF(ISBLANK(D37),B37,D37)) &lt; 0, 0, (BE21*((3*(IF(ISBLANK(E37),C37,E37)))+IF(ISBLANK(D37),B37,D37)))))/3)</f>
        <v>61870.590661600181</v>
      </c>
      <c r="M37" s="492">
        <f>SUM((IF(BJ21*((4*(IF(ISBLANK(E37),C37,E37)))+IF(ISBLANK(D37),B37,D37)) &lt; 0, 0, (BJ21*((4*(IF(ISBLANK(E37),C37,E37)))+IF(ISBLANK(D37),B37,D37)))))/3)</f>
        <v>128599.07896223319</v>
      </c>
      <c r="N37" s="492">
        <f>SUM((IF(BO21*((5*(IF(ISBLANK(E37),C37,E37)))+IF(ISBLANK(D37),B37,D37)) &lt; 0, 0, (BO21*((5*(IF(ISBLANK(E37),C37,E37)))+IF(ISBLANK(D37),B37,D37)))))/3)</f>
        <v>261779.53924761011</v>
      </c>
      <c r="O37" s="217">
        <f t="shared" si="111"/>
        <v>1441900.3261910873</v>
      </c>
      <c r="P37" s="492">
        <f>SUM((IF(BU21*((6*(IF(ISBLANK(E37),C37,E37)))+IF(ISBLANK(D37),B37,D37)) &lt; 0, 0, (BU21*((6*(IF(ISBLANK(E37),C37,E37)))+IF(ISBLANK(D37),B37,D37)))))/3)</f>
        <v>526691.58824722713</v>
      </c>
      <c r="Q37" s="492">
        <f>SUM((IF(BZ21*((7*(IF(ISBLANK(E37),C37,E37)))+IF(ISBLANK(D37),B37,D37)) &lt; 0, 0, (BZ21*((7*(IF(ISBLANK(E37),C37,E37)))+IF(ISBLANK(D37),B37,D37)))))/3)</f>
        <v>1050501.9766129393</v>
      </c>
      <c r="R37" s="492">
        <f>SUM((IF(CE21*((8*(IF(ISBLANK(E37),C37,E37)))+IF(ISBLANK(D37),B37,D37)) &lt; 0, 0, (CE21*((8*(IF(ISBLANK(E37),C37,E37)))+IF(ISBLANK(D37),B37,D37)))))/3)</f>
        <v>2111035.0406481442</v>
      </c>
      <c r="S37" s="492">
        <f>SUM((IF(CJ21*((9*(IF(ISBLANK(E37),C37,E37)))+IF(ISBLANK(D37),B37,D37)) &lt; 0, 0, (CJ21*((9*(IF(ISBLANK(E37),C37,E37)))+IF(ISBLANK(D37),B37,D37)))))/3)</f>
        <v>4281234.905600124</v>
      </c>
      <c r="T37" s="218">
        <f t="shared" si="112"/>
        <v>23908390.533325307</v>
      </c>
      <c r="U37" s="221"/>
      <c r="V37" s="239">
        <f>SUM((IF((V21*V18)*((10*(IF(ISBLANK(E37),C37,E37)))+IF(ISBLANK(D37),B37,D37)) &lt; 0, 0, ((V21*V18)*((10*(IF(ISBLANK(E37),C37,E37)))+IF(ISBLANK(D37),B37,D37))))))</f>
        <v>197326166.00479779</v>
      </c>
      <c r="W37" s="217">
        <f>SUM((IF((W21*W18)*((10*(IF(ISBLANK(E37),C37,E37)))+IF(ISBLANK(D37),B37,D37)) &lt; 0, 0, ((W21*W18)*((10*(IF(ISBLANK(E37),C37,E37)))+IF(ISBLANK(D37),B37,D37))))))</f>
        <v>550758090.96634614</v>
      </c>
      <c r="X37" s="242">
        <f>SUM((IF((X21*X18)*((10*(IF(ISBLANK(E37),C37,E37)))+IF(ISBLANK(D37),B37,D37)) &lt; 0, 0, ((X21*X18)*((10*(IF(ISBLANK(E37),C37,E37)))+IF(ISBLANK(D37),B37,D37))))))</f>
        <v>1120592687.0915215</v>
      </c>
      <c r="Y37" s="221"/>
      <c r="Z37" s="578">
        <v>0</v>
      </c>
      <c r="AA37" s="617"/>
      <c r="AB37" s="532">
        <f t="shared" si="113"/>
        <v>0</v>
      </c>
      <c r="AC37" s="492">
        <f t="shared" si="114"/>
        <v>0</v>
      </c>
      <c r="AD37" s="492">
        <f t="shared" si="115"/>
        <v>0</v>
      </c>
      <c r="AE37" s="492">
        <f>SUM(AB37:AD37)</f>
        <v>0</v>
      </c>
      <c r="AF37" s="222"/>
      <c r="AG37" s="532">
        <f t="shared" si="116"/>
        <v>0</v>
      </c>
      <c r="AH37" s="492">
        <f t="shared" si="117"/>
        <v>0</v>
      </c>
      <c r="AI37" s="492">
        <f t="shared" si="118"/>
        <v>0</v>
      </c>
      <c r="AJ37" s="492">
        <f>SUM(AG37:AI37)</f>
        <v>0</v>
      </c>
      <c r="AK37" s="222"/>
      <c r="AL37" s="532">
        <f t="shared" si="119"/>
        <v>3696.7049327299969</v>
      </c>
      <c r="AM37" s="492">
        <f t="shared" si="120"/>
        <v>3696.7049327299969</v>
      </c>
      <c r="AN37" s="492">
        <f t="shared" si="121"/>
        <v>3696.7049327299969</v>
      </c>
      <c r="AO37" s="492">
        <f>SUM(AL37:AN37)</f>
        <v>11090.11479818999</v>
      </c>
      <c r="AP37" s="222"/>
      <c r="AQ37" s="532">
        <f t="shared" si="122"/>
        <v>11822.07379082739</v>
      </c>
      <c r="AR37" s="492">
        <f t="shared" si="123"/>
        <v>11822.07379082739</v>
      </c>
      <c r="AS37" s="492">
        <f t="shared" si="124"/>
        <v>11822.07379082739</v>
      </c>
      <c r="AT37" s="492">
        <f>SUM(AQ37:AS37)</f>
        <v>35466.22137248217</v>
      </c>
      <c r="AU37" s="222"/>
      <c r="AV37" s="617"/>
      <c r="AW37" s="532">
        <f t="shared" si="125"/>
        <v>28384.233192252268</v>
      </c>
      <c r="AX37" s="492">
        <f t="shared" si="126"/>
        <v>28384.233192252268</v>
      </c>
      <c r="AY37" s="492">
        <f t="shared" si="127"/>
        <v>28384.233192252268</v>
      </c>
      <c r="AZ37" s="492">
        <f>SUM(AW37:AY37)</f>
        <v>85152.699576756801</v>
      </c>
      <c r="BA37" s="222"/>
      <c r="BB37" s="532">
        <f t="shared" si="128"/>
        <v>61870.590661600181</v>
      </c>
      <c r="BC37" s="492">
        <f>L37</f>
        <v>61870.590661600181</v>
      </c>
      <c r="BD37" s="492">
        <f t="shared" si="130"/>
        <v>61870.590661600181</v>
      </c>
      <c r="BE37" s="492">
        <f>SUM(BB37:BD37)</f>
        <v>185611.77198480055</v>
      </c>
      <c r="BF37" s="222"/>
      <c r="BG37" s="532">
        <f t="shared" si="131"/>
        <v>128599.07896223319</v>
      </c>
      <c r="BH37" s="492">
        <f t="shared" si="132"/>
        <v>128599.07896223319</v>
      </c>
      <c r="BI37" s="492">
        <f t="shared" si="133"/>
        <v>128599.07896223319</v>
      </c>
      <c r="BJ37" s="492">
        <f>SUM(BG37:BI37)</f>
        <v>385797.23688669957</v>
      </c>
      <c r="BK37" s="222"/>
      <c r="BL37" s="532">
        <f t="shared" si="134"/>
        <v>261779.53924761011</v>
      </c>
      <c r="BM37" s="492">
        <f t="shared" si="135"/>
        <v>261779.53924761011</v>
      </c>
      <c r="BN37" s="492">
        <f t="shared" si="136"/>
        <v>261779.53924761011</v>
      </c>
      <c r="BO37" s="492">
        <f>SUM(BL37:BN37)</f>
        <v>785338.61774283031</v>
      </c>
      <c r="BP37" s="222"/>
      <c r="BQ37" s="221"/>
      <c r="BR37" s="532">
        <f t="shared" si="137"/>
        <v>526691.58824722713</v>
      </c>
      <c r="BS37" s="492">
        <f t="shared" si="138"/>
        <v>526691.58824722713</v>
      </c>
      <c r="BT37" s="492">
        <f t="shared" si="139"/>
        <v>526691.58824722713</v>
      </c>
      <c r="BU37" s="492">
        <f>SUM(BR37:BT37)</f>
        <v>1580074.7647416815</v>
      </c>
      <c r="BV37" s="222"/>
      <c r="BW37" s="532">
        <f t="shared" si="140"/>
        <v>1050501.9766129393</v>
      </c>
      <c r="BX37" s="492">
        <f t="shared" si="141"/>
        <v>1050501.9766129393</v>
      </c>
      <c r="BY37" s="492">
        <f t="shared" si="142"/>
        <v>1050501.9766129393</v>
      </c>
      <c r="BZ37" s="492">
        <f>SUM(BW37:BY37)</f>
        <v>3151505.9298388176</v>
      </c>
      <c r="CA37" s="222"/>
      <c r="CB37" s="532">
        <f t="shared" si="143"/>
        <v>2111035.0406481442</v>
      </c>
      <c r="CC37" s="492">
        <f t="shared" si="144"/>
        <v>2111035.0406481442</v>
      </c>
      <c r="CD37" s="492">
        <f t="shared" si="145"/>
        <v>2111035.0406481442</v>
      </c>
      <c r="CE37" s="492">
        <f>SUM(CB37:CD37)</f>
        <v>6333105.1219444331</v>
      </c>
      <c r="CF37" s="222"/>
      <c r="CG37" s="532">
        <f t="shared" si="146"/>
        <v>4281234.905600124</v>
      </c>
      <c r="CH37" s="492">
        <f t="shared" si="147"/>
        <v>4281234.905600124</v>
      </c>
      <c r="CI37" s="492">
        <f t="shared" si="148"/>
        <v>4281234.905600124</v>
      </c>
      <c r="CJ37" s="492">
        <f>SUM(CG37:CI37)</f>
        <v>12843704.716800373</v>
      </c>
      <c r="CK37" s="222"/>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row>
    <row r="38" spans="1:179" s="57" customFormat="1" ht="9.75" customHeight="1" x14ac:dyDescent="0.15">
      <c r="A38" s="488" t="s">
        <v>158</v>
      </c>
      <c r="B38" s="239">
        <v>3000</v>
      </c>
      <c r="C38" s="218">
        <v>5000</v>
      </c>
      <c r="D38" s="228"/>
      <c r="E38" s="229"/>
      <c r="F38" s="491">
        <f>SUM((IF(ISBLANK(D38),B38,D38)))</f>
        <v>3000</v>
      </c>
      <c r="G38" s="492">
        <f>SUM((IF(ISBLANK(D38),B38,D38)))</f>
        <v>3000</v>
      </c>
      <c r="H38" s="492">
        <f>SUM((IF(ISBLANK(D38),B38,D38)))</f>
        <v>3000</v>
      </c>
      <c r="I38" s="492">
        <f>SUM((IF(ISBLANK(D38),B38,D38)))</f>
        <v>3000</v>
      </c>
      <c r="J38" s="217">
        <f t="shared" si="110"/>
        <v>36000</v>
      </c>
      <c r="K38" s="492">
        <f>SUM((IF(ISBLANK(D38),B38,D38))+(IF(ISBLANK(E38),C38,E38)))</f>
        <v>8000</v>
      </c>
      <c r="L38" s="492">
        <f>SUM((IF(ISBLANK(D38),B38,D38))+(IF(ISBLANK(E38),C38,E38)))</f>
        <v>8000</v>
      </c>
      <c r="M38" s="492">
        <f>SUM((IF(ISBLANK(D38),B38,D38))+(IF(ISBLANK(E38),C38,E38)))</f>
        <v>8000</v>
      </c>
      <c r="N38" s="492">
        <f>SUM((IF(ISBLANK(D38),B38,D38))+(IF(ISBLANK(E38),C38,E38)))</f>
        <v>8000</v>
      </c>
      <c r="O38" s="217">
        <f t="shared" si="111"/>
        <v>96000</v>
      </c>
      <c r="P38" s="492">
        <f>SUM((IF(ISBLANK(D38),B38,D38))+(IF(ISBLANK(E38),C38,E38)))</f>
        <v>8000</v>
      </c>
      <c r="Q38" s="492">
        <f>SUM((IF(ISBLANK(D38),B38,D38))+(IF(ISBLANK(E38),C38,E38)))</f>
        <v>8000</v>
      </c>
      <c r="R38" s="492">
        <f>SUM((IF(ISBLANK(D38),B38,D38))+(IF(ISBLANK(E38),C38,E38)))</f>
        <v>8000</v>
      </c>
      <c r="S38" s="492">
        <f>SUM((IF(ISBLANK(D38),B38,D38))+(IF(ISBLANK(E38),C38,E38)))</f>
        <v>8000</v>
      </c>
      <c r="T38" s="218">
        <f t="shared" si="112"/>
        <v>96000</v>
      </c>
      <c r="U38" s="221"/>
      <c r="V38" s="239">
        <f>SUM(S38*12)</f>
        <v>96000</v>
      </c>
      <c r="W38" s="217">
        <f>SUM(S38*12)</f>
        <v>96000</v>
      </c>
      <c r="X38" s="242">
        <f>SUM(S38*12)</f>
        <v>96000</v>
      </c>
      <c r="Y38" s="221"/>
      <c r="Z38" s="578">
        <v>45000</v>
      </c>
      <c r="AA38" s="617"/>
      <c r="AB38" s="532">
        <f t="shared" si="113"/>
        <v>3000</v>
      </c>
      <c r="AC38" s="492">
        <f t="shared" si="114"/>
        <v>3000</v>
      </c>
      <c r="AD38" s="492">
        <f t="shared" si="115"/>
        <v>3000</v>
      </c>
      <c r="AE38" s="492">
        <f t="shared" si="98"/>
        <v>9000</v>
      </c>
      <c r="AF38" s="222"/>
      <c r="AG38" s="532">
        <f t="shared" si="116"/>
        <v>3000</v>
      </c>
      <c r="AH38" s="492">
        <f t="shared" si="117"/>
        <v>3000</v>
      </c>
      <c r="AI38" s="492">
        <f t="shared" si="118"/>
        <v>3000</v>
      </c>
      <c r="AJ38" s="492">
        <f t="shared" si="99"/>
        <v>9000</v>
      </c>
      <c r="AK38" s="222"/>
      <c r="AL38" s="532">
        <f t="shared" si="119"/>
        <v>3000</v>
      </c>
      <c r="AM38" s="492">
        <f t="shared" si="120"/>
        <v>3000</v>
      </c>
      <c r="AN38" s="492">
        <f t="shared" si="121"/>
        <v>3000</v>
      </c>
      <c r="AO38" s="492">
        <f t="shared" si="100"/>
        <v>9000</v>
      </c>
      <c r="AP38" s="222"/>
      <c r="AQ38" s="532">
        <f t="shared" si="122"/>
        <v>3000</v>
      </c>
      <c r="AR38" s="492">
        <f t="shared" si="123"/>
        <v>3000</v>
      </c>
      <c r="AS38" s="492">
        <f t="shared" si="124"/>
        <v>3000</v>
      </c>
      <c r="AT38" s="492">
        <f t="shared" si="101"/>
        <v>9000</v>
      </c>
      <c r="AU38" s="222"/>
      <c r="AV38" s="617"/>
      <c r="AW38" s="532">
        <f t="shared" si="125"/>
        <v>8000</v>
      </c>
      <c r="AX38" s="492">
        <f t="shared" si="126"/>
        <v>8000</v>
      </c>
      <c r="AY38" s="492">
        <f t="shared" si="127"/>
        <v>8000</v>
      </c>
      <c r="AZ38" s="492">
        <f t="shared" si="102"/>
        <v>24000</v>
      </c>
      <c r="BA38" s="222"/>
      <c r="BB38" s="532">
        <f t="shared" si="128"/>
        <v>8000</v>
      </c>
      <c r="BC38" s="492">
        <f t="shared" si="129"/>
        <v>8000</v>
      </c>
      <c r="BD38" s="492">
        <f t="shared" si="130"/>
        <v>8000</v>
      </c>
      <c r="BE38" s="492">
        <f t="shared" si="103"/>
        <v>24000</v>
      </c>
      <c r="BF38" s="222"/>
      <c r="BG38" s="532">
        <f t="shared" si="131"/>
        <v>8000</v>
      </c>
      <c r="BH38" s="492">
        <f t="shared" si="132"/>
        <v>8000</v>
      </c>
      <c r="BI38" s="492">
        <f t="shared" si="133"/>
        <v>8000</v>
      </c>
      <c r="BJ38" s="492">
        <f t="shared" si="104"/>
        <v>24000</v>
      </c>
      <c r="BK38" s="222"/>
      <c r="BL38" s="532">
        <f t="shared" si="134"/>
        <v>8000</v>
      </c>
      <c r="BM38" s="492">
        <f t="shared" si="135"/>
        <v>8000</v>
      </c>
      <c r="BN38" s="492">
        <f t="shared" si="136"/>
        <v>8000</v>
      </c>
      <c r="BO38" s="492">
        <f t="shared" si="105"/>
        <v>24000</v>
      </c>
      <c r="BP38" s="222"/>
      <c r="BQ38" s="221"/>
      <c r="BR38" s="532">
        <f t="shared" si="137"/>
        <v>8000</v>
      </c>
      <c r="BS38" s="492">
        <f t="shared" si="138"/>
        <v>8000</v>
      </c>
      <c r="BT38" s="492">
        <f t="shared" si="139"/>
        <v>8000</v>
      </c>
      <c r="BU38" s="492">
        <f t="shared" si="106"/>
        <v>24000</v>
      </c>
      <c r="BV38" s="222"/>
      <c r="BW38" s="532">
        <f t="shared" si="140"/>
        <v>8000</v>
      </c>
      <c r="BX38" s="492">
        <f t="shared" si="141"/>
        <v>8000</v>
      </c>
      <c r="BY38" s="492">
        <f t="shared" si="142"/>
        <v>8000</v>
      </c>
      <c r="BZ38" s="492">
        <f t="shared" si="107"/>
        <v>24000</v>
      </c>
      <c r="CA38" s="222"/>
      <c r="CB38" s="532">
        <f t="shared" si="143"/>
        <v>8000</v>
      </c>
      <c r="CC38" s="492">
        <f t="shared" si="144"/>
        <v>8000</v>
      </c>
      <c r="CD38" s="492">
        <f t="shared" si="145"/>
        <v>8000</v>
      </c>
      <c r="CE38" s="492">
        <f t="shared" si="108"/>
        <v>24000</v>
      </c>
      <c r="CF38" s="222"/>
      <c r="CG38" s="532">
        <f t="shared" si="146"/>
        <v>8000</v>
      </c>
      <c r="CH38" s="492">
        <f t="shared" si="147"/>
        <v>8000</v>
      </c>
      <c r="CI38" s="492">
        <f t="shared" si="148"/>
        <v>8000</v>
      </c>
      <c r="CJ38" s="492">
        <f t="shared" si="109"/>
        <v>24000</v>
      </c>
      <c r="CK38" s="222"/>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row>
    <row r="39" spans="1:179" s="57" customFormat="1" ht="9.75" customHeight="1" x14ac:dyDescent="0.15">
      <c r="A39" s="488" t="s">
        <v>193</v>
      </c>
      <c r="B39" s="145">
        <v>0.2</v>
      </c>
      <c r="C39" s="126">
        <v>0</v>
      </c>
      <c r="D39" s="291"/>
      <c r="E39" s="624"/>
      <c r="F39" s="226">
        <v>0</v>
      </c>
      <c r="G39" s="492">
        <f>IF(IF(F30&gt;0,F30*((0*(IF(ISBLANK(E39),C39,E39)))+(IF(ISBLANK(D39),B39,D39))),0)&lt;0,0,IF(F30&gt;0,F30*((0*(IF(ISBLANK(E39),C39,E39)))+(IF(ISBLANK(D39),B39,D39))),0))/3</f>
        <v>0</v>
      </c>
      <c r="H39" s="492">
        <f>IF(IF(G30&gt;0,G30*((0*(IF(ISBLANK(E39),C39,E39)))+(IF(ISBLANK(D39),B39,D39))),0)&lt;0,0,IF(G30&gt;0,G30*((0*(IF(ISBLANK(E39),C39,E39)))+(IF(ISBLANK(D39),B39,D39))),0))/3</f>
        <v>0</v>
      </c>
      <c r="I39" s="492">
        <f>IF(IF(H30&gt;0,H30*((1*(IF(ISBLANK(E39),C39,E39)))+(IF(ISBLANK(D39),B39,D39))),0)&lt;0,0,IF(H30&gt;0,H30*((1*(IF(ISBLANK(E39),C39,E39)))+(IF(ISBLANK(D39),B39,D39))),0))/3</f>
        <v>2464.4699551533313</v>
      </c>
      <c r="J39" s="217">
        <f t="shared" si="110"/>
        <v>7393.4098654599939</v>
      </c>
      <c r="K39" s="492">
        <f>IF(IF(I30&gt;0,I30*((2*(IF(ISBLANK(E39),C39,E39)))+(IF(ISBLANK(D39),B39,D39))),0)&lt;0,0,IF(I30&gt;0,I30*((2*(IF(ISBLANK(E39),C39,E39)))+(IF(ISBLANK(D39),B39,D39))),0))/3</f>
        <v>13681.439659437056</v>
      </c>
      <c r="L39" s="492">
        <f>IF(IF(K30&gt;0,K30*((3*(IF(ISBLANK(E39),C39,E39)))+(IF(ISBLANK(D39),B39,D39))),0)&lt;0,0,IF(K30&gt;0,K30*((3*(IF(ISBLANK(E39),C39,E39)))+(IF(ISBLANK(D39),B39,D39))),0))/3</f>
        <v>44021.843145391242</v>
      </c>
      <c r="M39" s="492">
        <f>IF(IF(L30&gt;0,L30*((4*(IF(ISBLANK(E39),C39,E39)))+(IF(ISBLANK(D39),B39,D39))),0)&lt;0,0,IF(L30&gt;0,L30*((4*(IF(ISBLANK(E39),C39,E39)))+(IF(ISBLANK(D39),B39,D39))),0))/3</f>
        <v>117555.83091737346</v>
      </c>
      <c r="N39" s="492">
        <f>IF(IF(M30&gt;0,M30*((5*(IF(ISBLANK(E39),C39,E39)))+(IF(ISBLANK(D39),B39,D39))),0)&lt;0,0,IF(M30&gt;0,M30*((5*(IF(ISBLANK(E39),C39,E39)))+(IF(ISBLANK(D39),B39,D39))),0))/3</f>
        <v>288523.57459475397</v>
      </c>
      <c r="O39" s="217">
        <f t="shared" si="111"/>
        <v>1391348.0649508671</v>
      </c>
      <c r="P39" s="492">
        <f>IF(IF(N30&gt;0,N30*((6*(IF(ISBLANK(E39),C39,E39)))+(IF(ISBLANK(D39),B39,D39))),0)&lt;0,0,IF(N30&gt;0,N30*((6*(IF(ISBLANK(E39),C39,E39)))+(IF(ISBLANK(D39),B39,D39))),0))/3</f>
        <v>678915.82466308307</v>
      </c>
      <c r="Q39" s="492">
        <f>IF(IF(P30&gt;0,P30*((7*(IF(ISBLANK(E39),C39,E39)))+(IF(ISBLANK(D39),B39,D39))),0)&lt;0,0,IF(P30&gt;0,P30*((7*(IF(ISBLANK(E39),C39,E39)))+(IF(ISBLANK(D39),B39,D39))),0))/3</f>
        <v>1630235.8683842744</v>
      </c>
      <c r="R39" s="492">
        <f>IF(IF(Q30&gt;0,Q30*((8*(IF(ISBLANK(E39),C39,E39)))+(IF(ISBLANK(D39),B39,D39))),0)&lt;0,0,IF(Q30&gt;0,Q30*((8*(IF(ISBLANK(E39),C39,E39)))+(IF(ISBLANK(D39),B39,D39))),0))/3</f>
        <v>3743824.7081569657</v>
      </c>
      <c r="S39" s="492">
        <f>IF(IF(R30&gt;0,R30*((9*(IF(ISBLANK(E39),C39,E39)))+(IF(ISBLANK(D39),B39,D39))),0)&lt;0,0,IF(R30&gt;0,R30*((9*(IF(ISBLANK(E39),C39,E39)))+(IF(ISBLANK(D39),B39,D39))),0))/3</f>
        <v>8607889.2118671723</v>
      </c>
      <c r="T39" s="218">
        <f t="shared" si="112"/>
        <v>43982596.839214489</v>
      </c>
      <c r="U39" s="221"/>
      <c r="V39" s="239">
        <f>SUM((V30*(IF(ISBLANK(D39),B39,D39)+(10*IF(ISBLANK(E39),C39,E39))))+(S30*(IF(ISBLANK(D39),B39,D39)+(10*IF(ISBLANK(E39),C39,E39)))))</f>
        <v>779825853.81265128</v>
      </c>
      <c r="W39" s="217">
        <f>SUM((W30*(IF(ISBLANK(D39),B39,D39)+(11*IF(ISBLANK(E39),C39,E39)))))</f>
        <v>2234892496.9033756</v>
      </c>
      <c r="X39" s="242">
        <f>SUM((X30*(IF(ISBLANK(D39),B39,D39)+(12*IF(ISBLANK(E39),C39,E39)))))</f>
        <v>5226362705.0316629</v>
      </c>
      <c r="Y39" s="221"/>
      <c r="Z39" s="578">
        <v>0</v>
      </c>
      <c r="AA39" s="617"/>
      <c r="AB39" s="532">
        <f>F39</f>
        <v>0</v>
      </c>
      <c r="AC39" s="492">
        <f>F39</f>
        <v>0</v>
      </c>
      <c r="AD39" s="492">
        <f>F39</f>
        <v>0</v>
      </c>
      <c r="AE39" s="492">
        <f t="shared" si="98"/>
        <v>0</v>
      </c>
      <c r="AF39" s="222"/>
      <c r="AG39" s="532">
        <f>G39</f>
        <v>0</v>
      </c>
      <c r="AH39" s="492">
        <f>G39</f>
        <v>0</v>
      </c>
      <c r="AI39" s="492">
        <f>G39</f>
        <v>0</v>
      </c>
      <c r="AJ39" s="492">
        <f t="shared" si="99"/>
        <v>0</v>
      </c>
      <c r="AK39" s="222"/>
      <c r="AL39" s="532">
        <f>H39</f>
        <v>0</v>
      </c>
      <c r="AM39" s="492">
        <f>H39</f>
        <v>0</v>
      </c>
      <c r="AN39" s="492">
        <f>H39</f>
        <v>0</v>
      </c>
      <c r="AO39" s="492">
        <f t="shared" si="100"/>
        <v>0</v>
      </c>
      <c r="AP39" s="222"/>
      <c r="AQ39" s="532">
        <f>I39</f>
        <v>2464.4699551533313</v>
      </c>
      <c r="AR39" s="492">
        <f>I39</f>
        <v>2464.4699551533313</v>
      </c>
      <c r="AS39" s="492">
        <f>I39</f>
        <v>2464.4699551533313</v>
      </c>
      <c r="AT39" s="492">
        <f t="shared" si="101"/>
        <v>7393.4098654599939</v>
      </c>
      <c r="AU39" s="222"/>
      <c r="AV39" s="617"/>
      <c r="AW39" s="532">
        <f>K39</f>
        <v>13681.439659437056</v>
      </c>
      <c r="AX39" s="492">
        <f>K39</f>
        <v>13681.439659437056</v>
      </c>
      <c r="AY39" s="492">
        <f>K39</f>
        <v>13681.439659437056</v>
      </c>
      <c r="AZ39" s="492">
        <f t="shared" si="102"/>
        <v>41044.318978311167</v>
      </c>
      <c r="BA39" s="222"/>
      <c r="BB39" s="532">
        <f>L39</f>
        <v>44021.843145391242</v>
      </c>
      <c r="BC39" s="492">
        <f>L39</f>
        <v>44021.843145391242</v>
      </c>
      <c r="BD39" s="492">
        <f>L39</f>
        <v>44021.843145391242</v>
      </c>
      <c r="BE39" s="492">
        <f t="shared" si="103"/>
        <v>132065.52943617373</v>
      </c>
      <c r="BF39" s="222"/>
      <c r="BG39" s="532">
        <f>M39</f>
        <v>117555.83091737346</v>
      </c>
      <c r="BH39" s="492">
        <f>M39</f>
        <v>117555.83091737346</v>
      </c>
      <c r="BI39" s="492">
        <f>M39</f>
        <v>117555.83091737346</v>
      </c>
      <c r="BJ39" s="492">
        <f t="shared" si="104"/>
        <v>352667.49275212036</v>
      </c>
      <c r="BK39" s="222"/>
      <c r="BL39" s="532">
        <f>N39</f>
        <v>288523.57459475397</v>
      </c>
      <c r="BM39" s="492">
        <f>N39</f>
        <v>288523.57459475397</v>
      </c>
      <c r="BN39" s="492">
        <f>N39</f>
        <v>288523.57459475397</v>
      </c>
      <c r="BO39" s="492">
        <f t="shared" si="105"/>
        <v>865570.72378426185</v>
      </c>
      <c r="BP39" s="222"/>
      <c r="BQ39" s="221"/>
      <c r="BR39" s="532">
        <f>P39</f>
        <v>678915.82466308307</v>
      </c>
      <c r="BS39" s="492">
        <f>P39</f>
        <v>678915.82466308307</v>
      </c>
      <c r="BT39" s="492">
        <f>P39</f>
        <v>678915.82466308307</v>
      </c>
      <c r="BU39" s="492">
        <f t="shared" si="106"/>
        <v>2036747.4739892492</v>
      </c>
      <c r="BV39" s="222"/>
      <c r="BW39" s="532">
        <f>Q39</f>
        <v>1630235.8683842744</v>
      </c>
      <c r="BX39" s="492">
        <f>Q39</f>
        <v>1630235.8683842744</v>
      </c>
      <c r="BY39" s="492">
        <f>Q39</f>
        <v>1630235.8683842744</v>
      </c>
      <c r="BZ39" s="492">
        <f t="shared" si="107"/>
        <v>4890707.605152823</v>
      </c>
      <c r="CA39" s="222"/>
      <c r="CB39" s="532">
        <f>R39</f>
        <v>3743824.7081569657</v>
      </c>
      <c r="CC39" s="492">
        <f>R39</f>
        <v>3743824.7081569657</v>
      </c>
      <c r="CD39" s="492">
        <f>R39</f>
        <v>3743824.7081569657</v>
      </c>
      <c r="CE39" s="492">
        <f t="shared" si="108"/>
        <v>11231474.124470897</v>
      </c>
      <c r="CF39" s="222"/>
      <c r="CG39" s="532">
        <f>S39</f>
        <v>8607889.2118671723</v>
      </c>
      <c r="CH39" s="492">
        <f>S39</f>
        <v>8607889.2118671723</v>
      </c>
      <c r="CI39" s="492">
        <f>S39</f>
        <v>8607889.2118671723</v>
      </c>
      <c r="CJ39" s="492">
        <f t="shared" si="109"/>
        <v>25823667.635601517</v>
      </c>
      <c r="CK39" s="222"/>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row>
    <row r="40" spans="1:179" s="57" customFormat="1" ht="9.75" customHeight="1" x14ac:dyDescent="0.15">
      <c r="A40" s="488" t="s">
        <v>194</v>
      </c>
      <c r="B40" s="145">
        <v>0.25</v>
      </c>
      <c r="C40" s="126">
        <v>0</v>
      </c>
      <c r="D40" s="291"/>
      <c r="E40" s="624"/>
      <c r="F40" s="226">
        <v>0</v>
      </c>
      <c r="G40" s="492">
        <f>IF(IF(F49&gt;0,F49*((0*(IF(ISBLANK(E40),C40,E40)))+(IF(ISBLANK(D40),B40,D40))),0)&lt;0,0,IF(F49&gt;0,F49*((0*(IF(ISBLANK(E40),C40,E40)))+(IF(ISBLANK(D40),B40,D40))),0))/3</f>
        <v>0</v>
      </c>
      <c r="H40" s="492">
        <f>IF(IF(G49&gt;0,G49*((0*(IF(ISBLANK(E40),C40,E40)))+(IF(ISBLANK(D40),B40,D40))),0)&lt;0,0,IF(G49&gt;0,G49*((0*(IF(ISBLANK(E40),C40,E40)))+(IF(ISBLANK(D40),B40,D40))),0))/3</f>
        <v>0</v>
      </c>
      <c r="I40" s="492">
        <f>IF(IF(H49&gt;0,H49*((1*(IF(ISBLANK(E40),C40,E40)))+(IF(ISBLANK(D40),B40,D40))),0)&lt;0,0,IF(H49&gt;0,H49*((1*(IF(ISBLANK(E40),C40,E40)))+(IF(ISBLANK(D40),B40,D40))),0))/3</f>
        <v>0</v>
      </c>
      <c r="J40" s="217">
        <f t="shared" si="110"/>
        <v>0</v>
      </c>
      <c r="K40" s="492">
        <f>IF(IF(I49&gt;0,I49*((2*(IF(ISBLANK(E40),C40,E40)))+(IF(ISBLANK(D40),B40,D40))),0)&lt;0,0,IF(I49&gt;0,I49*((2*(IF(ISBLANK(E40),C40,E40)))+(IF(ISBLANK(D40),B40,D40))),0))/3</f>
        <v>0</v>
      </c>
      <c r="L40" s="492">
        <f>IF(IF(K49&gt;0,K49*((3*(IF(ISBLANK(E40),C40,E40)))+(IF(ISBLANK(D40),B40,D40))),0)&lt;0,0,IF(K49&gt;0,K49*((3*(IF(ISBLANK(E40),C40,E40)))+(IF(ISBLANK(D40),B40,D40))),0))/3</f>
        <v>3605.8610907680318</v>
      </c>
      <c r="M40" s="492">
        <f>IF(IF(L49&gt;0,L49*((4*(IF(ISBLANK(E40),C40,E40)))+(IF(ISBLANK(D40),B40,D40))),0)&lt;0,0,IF(L49&gt;0,L49*((4*(IF(ISBLANK(E40),C40,E40)))+(IF(ISBLANK(D40),B40,D40))),0))/3</f>
        <v>29880.579530467803</v>
      </c>
      <c r="N40" s="492">
        <f>IF(IF(M49&gt;0,M49*((5*(IF(ISBLANK(E40),C40,E40)))+(IF(ISBLANK(D40),B40,D40))),0)&lt;0,0,IF(M49&gt;0,M49*((5*(IF(ISBLANK(E40),C40,E40)))+(IF(ISBLANK(D40),B40,D40))),0))/3</f>
        <v>90604.418179787812</v>
      </c>
      <c r="O40" s="217">
        <f t="shared" si="111"/>
        <v>372272.57640307094</v>
      </c>
      <c r="P40" s="492">
        <f>IF(IF(N49&gt;0,N49*((6*(IF(ISBLANK(E40),C40,E40)))+(IF(ISBLANK(D40),B40,D40))),0)&lt;0,0,IF(N49&gt;0,N49*((6*(IF(ISBLANK(E40),C40,E40)))+(IF(ISBLANK(D40),B40,D40))),0))/3</f>
        <v>250960.18463820484</v>
      </c>
      <c r="Q40" s="492">
        <f>IF(IF(P49&gt;0,P49*((7*(IF(ISBLANK(E40),C40,E40)))+(IF(ISBLANK(D40),B40,D40))),0)&lt;0,0,IF(P49&gt;0,P49*((7*(IF(ISBLANK(E40),C40,E40)))+(IF(ISBLANK(D40),B40,D40))),0))/3</f>
        <v>734668.53045921179</v>
      </c>
      <c r="R40" s="492">
        <f>IF(IF(Q49&gt;0,Q49*((8*(IF(ISBLANK(E40),C40,E40)))+(IF(ISBLANK(D40),B40,D40))),0)&lt;0,0,IF(Q49&gt;0,Q49*((8*(IF(ISBLANK(E40),C40,E40)))+(IF(ISBLANK(D40),B40,D40))),0))/3</f>
        <v>1847553.4534527697</v>
      </c>
      <c r="S40" s="492">
        <f>IF(IF(R49&gt;0,R49*((9*(IF(ISBLANK(E40),C40,E40)))+(IF(ISBLANK(D40),B40,D40))),0)&lt;0,0,IF(R49&gt;0,R49*((9*(IF(ISBLANK(E40),C40,E40)))+(IF(ISBLANK(D40),B40,D40))),0))/3</f>
        <v>4797385.4376915107</v>
      </c>
      <c r="T40" s="218">
        <f t="shared" si="112"/>
        <v>22891702.818725094</v>
      </c>
      <c r="U40" s="221"/>
      <c r="V40" s="239">
        <f>SUM(IF(S49&lt;0,0,S49*((10*(IF(ISBLANK(E40),C40,E40)))+(IF(ISBLANK(D40),B40,D40)))))</f>
        <v>39388430.235290974</v>
      </c>
      <c r="W40" s="217">
        <f>SUM(IF(V49&lt;0,0,V49*((11*(IF(ISBLANK(E40),C40,E40)))+(IF(ISBLANK(D40),B40,D40)))))</f>
        <v>367351670.70037133</v>
      </c>
      <c r="X40" s="242">
        <f>SUM(IF(W49&lt;0,0,W49*((12*(IF(ISBLANK(E40),C40,E40)))+(IF(ISBLANK(D40),B40,D40)))))</f>
        <v>1605557392.0361826</v>
      </c>
      <c r="Y40" s="221"/>
      <c r="Z40" s="578">
        <v>0</v>
      </c>
      <c r="AA40" s="617"/>
      <c r="AB40" s="532">
        <f>F40</f>
        <v>0</v>
      </c>
      <c r="AC40" s="492">
        <f>F40</f>
        <v>0</v>
      </c>
      <c r="AD40" s="492">
        <f>F40</f>
        <v>0</v>
      </c>
      <c r="AE40" s="492">
        <f t="shared" si="98"/>
        <v>0</v>
      </c>
      <c r="AF40" s="222"/>
      <c r="AG40" s="532">
        <f>G40</f>
        <v>0</v>
      </c>
      <c r="AH40" s="492">
        <f>G40</f>
        <v>0</v>
      </c>
      <c r="AI40" s="492">
        <f>G40</f>
        <v>0</v>
      </c>
      <c r="AJ40" s="492">
        <f t="shared" si="99"/>
        <v>0</v>
      </c>
      <c r="AK40" s="222"/>
      <c r="AL40" s="532">
        <f>H40</f>
        <v>0</v>
      </c>
      <c r="AM40" s="492">
        <f>H40</f>
        <v>0</v>
      </c>
      <c r="AN40" s="492">
        <f>H40</f>
        <v>0</v>
      </c>
      <c r="AO40" s="492">
        <f t="shared" si="100"/>
        <v>0</v>
      </c>
      <c r="AP40" s="222"/>
      <c r="AQ40" s="532">
        <f>I40</f>
        <v>0</v>
      </c>
      <c r="AR40" s="492">
        <f>I40</f>
        <v>0</v>
      </c>
      <c r="AS40" s="492">
        <f>I40</f>
        <v>0</v>
      </c>
      <c r="AT40" s="492">
        <f t="shared" si="101"/>
        <v>0</v>
      </c>
      <c r="AU40" s="222"/>
      <c r="AV40" s="617"/>
      <c r="AW40" s="532">
        <f>K40</f>
        <v>0</v>
      </c>
      <c r="AX40" s="492">
        <f>K40</f>
        <v>0</v>
      </c>
      <c r="AY40" s="492">
        <f>K40</f>
        <v>0</v>
      </c>
      <c r="AZ40" s="492">
        <f t="shared" si="102"/>
        <v>0</v>
      </c>
      <c r="BA40" s="222"/>
      <c r="BB40" s="532">
        <f>L40</f>
        <v>3605.8610907680318</v>
      </c>
      <c r="BC40" s="492">
        <f>L40</f>
        <v>3605.8610907680318</v>
      </c>
      <c r="BD40" s="492">
        <f>L40</f>
        <v>3605.8610907680318</v>
      </c>
      <c r="BE40" s="492">
        <f t="shared" si="103"/>
        <v>10817.583272304095</v>
      </c>
      <c r="BF40" s="222"/>
      <c r="BG40" s="532">
        <f>M40</f>
        <v>29880.579530467803</v>
      </c>
      <c r="BH40" s="492">
        <f>M40</f>
        <v>29880.579530467803</v>
      </c>
      <c r="BI40" s="492">
        <f>M40</f>
        <v>29880.579530467803</v>
      </c>
      <c r="BJ40" s="492">
        <f t="shared" si="104"/>
        <v>89641.738591403409</v>
      </c>
      <c r="BK40" s="222"/>
      <c r="BL40" s="532">
        <f>N40</f>
        <v>90604.418179787812</v>
      </c>
      <c r="BM40" s="492">
        <f>N40</f>
        <v>90604.418179787812</v>
      </c>
      <c r="BN40" s="492">
        <f>N40</f>
        <v>90604.418179787812</v>
      </c>
      <c r="BO40" s="492">
        <f t="shared" si="105"/>
        <v>271813.25453936344</v>
      </c>
      <c r="BP40" s="222"/>
      <c r="BQ40" s="221"/>
      <c r="BR40" s="532">
        <f>P40</f>
        <v>250960.18463820484</v>
      </c>
      <c r="BS40" s="492">
        <f>P40</f>
        <v>250960.18463820484</v>
      </c>
      <c r="BT40" s="492">
        <f>P40</f>
        <v>250960.18463820484</v>
      </c>
      <c r="BU40" s="492">
        <f t="shared" si="106"/>
        <v>752880.55391461449</v>
      </c>
      <c r="BV40" s="222"/>
      <c r="BW40" s="532">
        <f>Q40</f>
        <v>734668.53045921179</v>
      </c>
      <c r="BX40" s="492">
        <f>Q40</f>
        <v>734668.53045921179</v>
      </c>
      <c r="BY40" s="492">
        <f>Q40</f>
        <v>734668.53045921179</v>
      </c>
      <c r="BZ40" s="492">
        <f t="shared" si="107"/>
        <v>2204005.5913776355</v>
      </c>
      <c r="CA40" s="222"/>
      <c r="CB40" s="532">
        <f>R40</f>
        <v>1847553.4534527697</v>
      </c>
      <c r="CC40" s="492">
        <f>R40</f>
        <v>1847553.4534527697</v>
      </c>
      <c r="CD40" s="492">
        <f>R40</f>
        <v>1847553.4534527697</v>
      </c>
      <c r="CE40" s="492">
        <f t="shared" si="108"/>
        <v>5542660.360358309</v>
      </c>
      <c r="CF40" s="222"/>
      <c r="CG40" s="532">
        <f>S40</f>
        <v>4797385.4376915107</v>
      </c>
      <c r="CH40" s="492">
        <f>S40</f>
        <v>4797385.4376915107</v>
      </c>
      <c r="CI40" s="492">
        <f>S40</f>
        <v>4797385.4376915107</v>
      </c>
      <c r="CJ40" s="492">
        <f t="shared" si="109"/>
        <v>14392156.313074533</v>
      </c>
      <c r="CK40" s="222"/>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row>
    <row r="41" spans="1:179" s="57" customFormat="1" ht="9.75" customHeight="1" x14ac:dyDescent="0.15">
      <c r="A41" s="488" t="s">
        <v>195</v>
      </c>
      <c r="B41" s="239">
        <v>2500</v>
      </c>
      <c r="C41" s="371">
        <v>2000</v>
      </c>
      <c r="D41" s="228"/>
      <c r="E41" s="229"/>
      <c r="F41" s="491">
        <f>IF(ISBLANK(D41),B41,D41)</f>
        <v>2500</v>
      </c>
      <c r="G41" s="492">
        <f>SUM((IF(F49&gt;0,IF(ISBLANK(E41),C41,E41),0)+F41))</f>
        <v>2500</v>
      </c>
      <c r="H41" s="492">
        <f>SUM((IF(G49&gt;0,IF(ISBLANK(E41),C41,E41),0)+G41))</f>
        <v>2500</v>
      </c>
      <c r="I41" s="492">
        <f>SUM((IF(H49&gt;0,IF(ISBLANK(E41),C41,E41),0)+H41))</f>
        <v>2500</v>
      </c>
      <c r="J41" s="217">
        <f t="shared" si="110"/>
        <v>30000</v>
      </c>
      <c r="K41" s="492">
        <f>SUM((IF(I49&gt;0,IF(ISBLANK(E41),C41,E41),0)+I41))</f>
        <v>2500</v>
      </c>
      <c r="L41" s="492">
        <f>SUM((IF(K49&gt;0,IF(ISBLANK(E41),C41,E41),0)+K41))</f>
        <v>4500</v>
      </c>
      <c r="M41" s="492">
        <f>SUM((IF(L49&gt;0,IF(ISBLANK(E41),C41,E41),0)+L41))</f>
        <v>6500</v>
      </c>
      <c r="N41" s="492">
        <f>SUM((IF(M49&gt;0,IF(ISBLANK(E41),C41,E41),0)+M41))</f>
        <v>8500</v>
      </c>
      <c r="O41" s="217">
        <f t="shared" si="111"/>
        <v>66000</v>
      </c>
      <c r="P41" s="492">
        <f>SUM((IF(N49&gt;0,IF(ISBLANK(E41),C41,E41),0)+N41))</f>
        <v>10500</v>
      </c>
      <c r="Q41" s="492">
        <f>SUM((IF(P49&gt;0,IF(ISBLANK(E41),C41,E41),0)+P41))</f>
        <v>12500</v>
      </c>
      <c r="R41" s="492">
        <f>SUM((IF(Q49&gt;0,IF(ISBLANK(E41),C41,E41),0)+Q41))</f>
        <v>14500</v>
      </c>
      <c r="S41" s="492">
        <f>SUM((IF(R49&gt;0,IF(ISBLANK(E41),C41,E41),0)+R41))</f>
        <v>16500</v>
      </c>
      <c r="T41" s="218">
        <f t="shared" si="112"/>
        <v>162000</v>
      </c>
      <c r="U41" s="221"/>
      <c r="V41" s="239">
        <f>SUM((IF(S49&gt;0,IF(ISBLANK(E41),C41,E41),0)+S41))</f>
        <v>18500</v>
      </c>
      <c r="W41" s="217">
        <f>SUM((IF(V49&gt;0,IF(ISBLANK(E41),C41,E41),0)+V41))</f>
        <v>20500</v>
      </c>
      <c r="X41" s="242">
        <f>SUM((IF(W49&gt;0,IF(ISBLANK(E41),C41,E41),0)+W41))</f>
        <v>22500</v>
      </c>
      <c r="Y41" s="221"/>
      <c r="Z41" s="578">
        <v>55000</v>
      </c>
      <c r="AA41" s="617"/>
      <c r="AB41" s="532">
        <f t="shared" si="113"/>
        <v>2500</v>
      </c>
      <c r="AC41" s="492">
        <f t="shared" si="114"/>
        <v>2500</v>
      </c>
      <c r="AD41" s="492">
        <f t="shared" si="115"/>
        <v>2500</v>
      </c>
      <c r="AE41" s="492">
        <f t="shared" si="98"/>
        <v>7500</v>
      </c>
      <c r="AF41" s="222"/>
      <c r="AG41" s="532">
        <f t="shared" si="116"/>
        <v>2500</v>
      </c>
      <c r="AH41" s="492">
        <f>G41</f>
        <v>2500</v>
      </c>
      <c r="AI41" s="492">
        <f>G41</f>
        <v>2500</v>
      </c>
      <c r="AJ41" s="492">
        <f t="shared" si="99"/>
        <v>7500</v>
      </c>
      <c r="AK41" s="222"/>
      <c r="AL41" s="532">
        <f>H41</f>
        <v>2500</v>
      </c>
      <c r="AM41" s="492">
        <f>H41</f>
        <v>2500</v>
      </c>
      <c r="AN41" s="492">
        <f>H41</f>
        <v>2500</v>
      </c>
      <c r="AO41" s="492">
        <f t="shared" si="100"/>
        <v>7500</v>
      </c>
      <c r="AP41" s="222"/>
      <c r="AQ41" s="532">
        <f t="shared" si="122"/>
        <v>2500</v>
      </c>
      <c r="AR41" s="492">
        <f t="shared" si="123"/>
        <v>2500</v>
      </c>
      <c r="AS41" s="492">
        <f t="shared" si="124"/>
        <v>2500</v>
      </c>
      <c r="AT41" s="492">
        <f t="shared" si="101"/>
        <v>7500</v>
      </c>
      <c r="AU41" s="222"/>
      <c r="AV41" s="617"/>
      <c r="AW41" s="532">
        <f t="shared" si="125"/>
        <v>2500</v>
      </c>
      <c r="AX41" s="492">
        <f t="shared" si="126"/>
        <v>2500</v>
      </c>
      <c r="AY41" s="492">
        <f t="shared" si="127"/>
        <v>2500</v>
      </c>
      <c r="AZ41" s="492">
        <f t="shared" si="102"/>
        <v>7500</v>
      </c>
      <c r="BA41" s="222"/>
      <c r="BB41" s="532">
        <f t="shared" si="128"/>
        <v>4500</v>
      </c>
      <c r="BC41" s="492">
        <f t="shared" si="129"/>
        <v>4500</v>
      </c>
      <c r="BD41" s="492">
        <f t="shared" si="130"/>
        <v>4500</v>
      </c>
      <c r="BE41" s="492">
        <f t="shared" si="103"/>
        <v>13500</v>
      </c>
      <c r="BF41" s="222"/>
      <c r="BG41" s="532">
        <f t="shared" si="131"/>
        <v>6500</v>
      </c>
      <c r="BH41" s="492">
        <f t="shared" si="132"/>
        <v>6500</v>
      </c>
      <c r="BI41" s="492">
        <f t="shared" si="133"/>
        <v>6500</v>
      </c>
      <c r="BJ41" s="492">
        <f t="shared" si="104"/>
        <v>19500</v>
      </c>
      <c r="BK41" s="222"/>
      <c r="BL41" s="532">
        <f>N41</f>
        <v>8500</v>
      </c>
      <c r="BM41" s="492">
        <f t="shared" si="135"/>
        <v>8500</v>
      </c>
      <c r="BN41" s="492">
        <f t="shared" si="136"/>
        <v>8500</v>
      </c>
      <c r="BO41" s="492">
        <f t="shared" si="105"/>
        <v>25500</v>
      </c>
      <c r="BP41" s="222"/>
      <c r="BQ41" s="221"/>
      <c r="BR41" s="532">
        <f t="shared" si="137"/>
        <v>10500</v>
      </c>
      <c r="BS41" s="492">
        <f t="shared" si="138"/>
        <v>10500</v>
      </c>
      <c r="BT41" s="492">
        <f t="shared" si="139"/>
        <v>10500</v>
      </c>
      <c r="BU41" s="492">
        <f t="shared" si="106"/>
        <v>31500</v>
      </c>
      <c r="BV41" s="222"/>
      <c r="BW41" s="532">
        <f t="shared" si="140"/>
        <v>12500</v>
      </c>
      <c r="BX41" s="492">
        <f t="shared" si="141"/>
        <v>12500</v>
      </c>
      <c r="BY41" s="492">
        <f t="shared" si="142"/>
        <v>12500</v>
      </c>
      <c r="BZ41" s="492">
        <f t="shared" si="107"/>
        <v>37500</v>
      </c>
      <c r="CA41" s="222"/>
      <c r="CB41" s="532">
        <f t="shared" si="143"/>
        <v>14500</v>
      </c>
      <c r="CC41" s="492">
        <f t="shared" si="144"/>
        <v>14500</v>
      </c>
      <c r="CD41" s="492">
        <f t="shared" si="145"/>
        <v>14500</v>
      </c>
      <c r="CE41" s="492">
        <f t="shared" si="108"/>
        <v>43500</v>
      </c>
      <c r="CF41" s="222"/>
      <c r="CG41" s="532">
        <f t="shared" si="146"/>
        <v>16500</v>
      </c>
      <c r="CH41" s="492">
        <f t="shared" si="147"/>
        <v>16500</v>
      </c>
      <c r="CI41" s="492">
        <f t="shared" si="148"/>
        <v>16500</v>
      </c>
      <c r="CJ41" s="492">
        <f t="shared" si="109"/>
        <v>49500</v>
      </c>
      <c r="CK41" s="222"/>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row>
    <row r="42" spans="1:179" s="57" customFormat="1" ht="9.75" customHeight="1" x14ac:dyDescent="0.15">
      <c r="A42" s="488" t="s">
        <v>196</v>
      </c>
      <c r="B42" s="239">
        <v>2000</v>
      </c>
      <c r="C42" s="214">
        <v>0.01</v>
      </c>
      <c r="D42" s="228"/>
      <c r="E42" s="225"/>
      <c r="F42" s="491">
        <f>SUM((IF(ISBLANK(D42),B42,D42))+(IF(ISBLANK(E42),C42,E42)*F18))</f>
        <v>2021.4521407384641</v>
      </c>
      <c r="G42" s="492">
        <f>SUM((IF(ISBLANK(D42),B42,D42))+(IF(ISBLANK(E42),C42,E42)*G18))</f>
        <v>2051.1901415290749</v>
      </c>
      <c r="H42" s="492">
        <f>SUM((IF(ISBLANK(D42),B42,D42))+(IF(ISBLANK(E42),C42,E42)*H18))</f>
        <v>2362.4302203705588</v>
      </c>
      <c r="I42" s="492">
        <f>SUM((IF(ISBLANK(D42),B42,D42))+(IF(ISBLANK(E42),C42,E42)*I18))</f>
        <v>2942.5171786550927</v>
      </c>
      <c r="J42" s="217">
        <f t="shared" si="110"/>
        <v>28132.769043879569</v>
      </c>
      <c r="K42" s="492">
        <f>SUM((IF(ISBLANK(D42),B42,D42))+(IF(ISBLANK(E42),C42,E42)*K18))</f>
        <v>4051.3769641011672</v>
      </c>
      <c r="L42" s="492">
        <f>SUM((IF(ISBLANK(D42),B42,D42))+(IF(ISBLANK(E42),C42,E42)*L18))</f>
        <v>6207.8012159736227</v>
      </c>
      <c r="M42" s="492">
        <f>SUM((IF(ISBLANK(D42),B42,D42))+(IF(ISBLANK(E42),C42,E42)*M18))</f>
        <v>10396.163797288518</v>
      </c>
      <c r="N42" s="492">
        <f>SUM((IF(ISBLANK(D42),B42,D42))+(IF(ISBLANK(E42),C42,E42)*N18))</f>
        <v>18694.915514034165</v>
      </c>
      <c r="O42" s="217">
        <f t="shared" si="111"/>
        <v>118050.77247419242</v>
      </c>
      <c r="P42" s="492">
        <f>SUM((IF(ISBLANK(D42),B42,D42))+(IF(ISBLANK(E42),C42,E42)*P18))</f>
        <v>35210.513396630704</v>
      </c>
      <c r="Q42" s="492">
        <f>SUM((IF(ISBLANK(D42),B42,D42))+(IF(ISBLANK(E42),C42,E42)*Q18))</f>
        <v>68242.436923138768</v>
      </c>
      <c r="R42" s="492">
        <f>SUM((IF(ISBLANK(D42),B42,D42))+(IF(ISBLANK(E42),C42,E42)*R18))</f>
        <v>137271.23917575652</v>
      </c>
      <c r="S42" s="492">
        <f>SUM((IF(ISBLANK(D42),B42,D42))+(IF(ISBLANK(E42),C42,E42)*S18))</f>
        <v>283896.9292239449</v>
      </c>
      <c r="T42" s="218">
        <f t="shared" si="112"/>
        <v>1573863.3561584128</v>
      </c>
      <c r="U42" s="221"/>
      <c r="V42" s="239">
        <f>SUM((IF(ISBLANK(D42),B42,D42))+(IF(ISBLANK(E42),C42,E42)*V18))*12</f>
        <v>10382328.924136367</v>
      </c>
      <c r="W42" s="217">
        <f>SUM((IF(ISBLANK(D42),B42,D42))+(IF(ISBLANK(E42),C42,E42)*W18))*12</f>
        <v>26064571.676895797</v>
      </c>
      <c r="X42" s="242">
        <f>SUM((IF(ISBLANK(D42),B42,D42))+(IF(ISBLANK(E42),C42,E42)*X18))*12</f>
        <v>48221534.92866759</v>
      </c>
      <c r="Y42" s="221"/>
      <c r="Z42" s="578">
        <f>SUM(10105+7000)</f>
        <v>17105</v>
      </c>
      <c r="AA42" s="617"/>
      <c r="AB42" s="532">
        <f t="shared" si="113"/>
        <v>2021.4521407384641</v>
      </c>
      <c r="AC42" s="492">
        <f t="shared" si="114"/>
        <v>2021.4521407384641</v>
      </c>
      <c r="AD42" s="492">
        <f t="shared" si="115"/>
        <v>2021.4521407384641</v>
      </c>
      <c r="AE42" s="492">
        <f t="shared" si="98"/>
        <v>6064.3564222153927</v>
      </c>
      <c r="AF42" s="222"/>
      <c r="AG42" s="532">
        <f t="shared" si="116"/>
        <v>2051.1901415290749</v>
      </c>
      <c r="AH42" s="492">
        <f t="shared" si="117"/>
        <v>2051.1901415290749</v>
      </c>
      <c r="AI42" s="492">
        <f t="shared" si="118"/>
        <v>2051.1901415290749</v>
      </c>
      <c r="AJ42" s="492">
        <f t="shared" si="99"/>
        <v>6153.5704245872248</v>
      </c>
      <c r="AK42" s="222"/>
      <c r="AL42" s="532">
        <f t="shared" si="119"/>
        <v>2362.4302203705588</v>
      </c>
      <c r="AM42" s="492">
        <f t="shared" si="120"/>
        <v>2362.4302203705588</v>
      </c>
      <c r="AN42" s="492">
        <f t="shared" si="121"/>
        <v>2362.4302203705588</v>
      </c>
      <c r="AO42" s="492">
        <f t="shared" si="100"/>
        <v>7087.2906611116759</v>
      </c>
      <c r="AP42" s="222"/>
      <c r="AQ42" s="532">
        <f t="shared" si="122"/>
        <v>2942.5171786550927</v>
      </c>
      <c r="AR42" s="492">
        <f t="shared" si="123"/>
        <v>2942.5171786550927</v>
      </c>
      <c r="AS42" s="492">
        <f t="shared" si="124"/>
        <v>2942.5171786550927</v>
      </c>
      <c r="AT42" s="492">
        <f t="shared" si="101"/>
        <v>8827.5515359652782</v>
      </c>
      <c r="AU42" s="222"/>
      <c r="AV42" s="617"/>
      <c r="AW42" s="532">
        <f t="shared" si="125"/>
        <v>4051.3769641011672</v>
      </c>
      <c r="AX42" s="492">
        <f t="shared" si="126"/>
        <v>4051.3769641011672</v>
      </c>
      <c r="AY42" s="492">
        <f t="shared" si="127"/>
        <v>4051.3769641011672</v>
      </c>
      <c r="AZ42" s="492">
        <f t="shared" si="102"/>
        <v>12154.130892303501</v>
      </c>
      <c r="BA42" s="222"/>
      <c r="BB42" s="532">
        <f t="shared" si="128"/>
        <v>6207.8012159736227</v>
      </c>
      <c r="BC42" s="492">
        <f t="shared" si="129"/>
        <v>6207.8012159736227</v>
      </c>
      <c r="BD42" s="492">
        <f t="shared" si="130"/>
        <v>6207.8012159736227</v>
      </c>
      <c r="BE42" s="492">
        <f t="shared" si="103"/>
        <v>18623.403647920866</v>
      </c>
      <c r="BF42" s="222"/>
      <c r="BG42" s="532">
        <f t="shared" si="131"/>
        <v>10396.163797288518</v>
      </c>
      <c r="BH42" s="492">
        <f t="shared" si="132"/>
        <v>10396.163797288518</v>
      </c>
      <c r="BI42" s="492">
        <f t="shared" si="133"/>
        <v>10396.163797288518</v>
      </c>
      <c r="BJ42" s="492">
        <f t="shared" si="104"/>
        <v>31188.491391865555</v>
      </c>
      <c r="BK42" s="222"/>
      <c r="BL42" s="532">
        <f t="shared" si="134"/>
        <v>18694.915514034165</v>
      </c>
      <c r="BM42" s="492">
        <f t="shared" si="135"/>
        <v>18694.915514034165</v>
      </c>
      <c r="BN42" s="492">
        <f t="shared" si="136"/>
        <v>18694.915514034165</v>
      </c>
      <c r="BO42" s="492">
        <f t="shared" si="105"/>
        <v>56084.746542102497</v>
      </c>
      <c r="BP42" s="222"/>
      <c r="BQ42" s="221"/>
      <c r="BR42" s="532">
        <f t="shared" si="137"/>
        <v>35210.513396630704</v>
      </c>
      <c r="BS42" s="492">
        <f t="shared" si="138"/>
        <v>35210.513396630704</v>
      </c>
      <c r="BT42" s="492">
        <f t="shared" si="139"/>
        <v>35210.513396630704</v>
      </c>
      <c r="BU42" s="492">
        <f t="shared" si="106"/>
        <v>105631.54018989211</v>
      </c>
      <c r="BV42" s="222"/>
      <c r="BW42" s="532">
        <f t="shared" si="140"/>
        <v>68242.436923138768</v>
      </c>
      <c r="BX42" s="492">
        <f t="shared" si="141"/>
        <v>68242.436923138768</v>
      </c>
      <c r="BY42" s="492">
        <f t="shared" si="142"/>
        <v>68242.436923138768</v>
      </c>
      <c r="BZ42" s="492">
        <f t="shared" si="107"/>
        <v>204727.3107694163</v>
      </c>
      <c r="CA42" s="222"/>
      <c r="CB42" s="532">
        <f t="shared" si="143"/>
        <v>137271.23917575652</v>
      </c>
      <c r="CC42" s="492">
        <f t="shared" si="144"/>
        <v>137271.23917575652</v>
      </c>
      <c r="CD42" s="492">
        <f t="shared" si="145"/>
        <v>137271.23917575652</v>
      </c>
      <c r="CE42" s="492">
        <f t="shared" si="108"/>
        <v>411813.71752726956</v>
      </c>
      <c r="CF42" s="222"/>
      <c r="CG42" s="532">
        <f t="shared" si="146"/>
        <v>283896.9292239449</v>
      </c>
      <c r="CH42" s="492">
        <f t="shared" si="147"/>
        <v>283896.9292239449</v>
      </c>
      <c r="CI42" s="492">
        <f t="shared" si="148"/>
        <v>283896.9292239449</v>
      </c>
      <c r="CJ42" s="492">
        <f t="shared" si="109"/>
        <v>851690.7876718347</v>
      </c>
      <c r="CK42" s="222"/>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row>
    <row r="43" spans="1:179" s="57" customFormat="1" ht="9.75" customHeight="1" x14ac:dyDescent="0.15">
      <c r="A43" s="488" t="s">
        <v>197</v>
      </c>
      <c r="B43" s="167">
        <v>0.1</v>
      </c>
      <c r="C43" s="285">
        <v>-0.01</v>
      </c>
      <c r="D43" s="291"/>
      <c r="E43" s="624"/>
      <c r="F43" s="226">
        <v>10000</v>
      </c>
      <c r="G43" s="227">
        <v>10000</v>
      </c>
      <c r="H43" s="492">
        <f>SUM((IF(ISBLANK(D43),B43,D43)*(H30/3))+(G43))</f>
        <v>11232.234977576665</v>
      </c>
      <c r="I43" s="491">
        <f>SUM(IF(ISBLANK(D43),      (IF((1*(IF(ISBLANK(E43),C43,E43)) + B43) &lt; 0,     0,     (1*(IF(ISBLANK(E43),C43,E43)) + B43)   )),       (IF((1*(IF(ISBLANK(E43),C43,E43)) + D43) &lt; 0,     0,     (1*(IF(ISBLANK(E43),C43,E43)) + D43)   ))  )       *   (I30/3)+(H43))</f>
        <v>17388.88282432334</v>
      </c>
      <c r="J43" s="217">
        <f t="shared" si="110"/>
        <v>145863.35340570001</v>
      </c>
      <c r="K43" s="492">
        <f>SUM(IF(ISBLANK(D43),      (IF((2*(IF(ISBLANK(E43),C43,E43)) + B43) &lt; 0,     0,     (2*(IF(ISBLANK(E43),C43,E43)) + B43)   )),       (IF((2*(IF(ISBLANK(E43),C43,E43)) + D43) &lt; 0,     0,     (2*(IF(ISBLANK(E43),C43,E43)) + D43)   ))  )       *   (K30/3)+(I43))</f>
        <v>34997.620082479843</v>
      </c>
      <c r="L43" s="492">
        <f>SUM(IF(ISBLANK(D43),      (IF((3*(IF(ISBLANK(E43),C43,E43)) + B43) &lt; 0,     0,     (3*(IF(ISBLANK(E43),C43,E43)) + B43)   )),       (IF((3*(IF(ISBLANK(E43),C43,E43)) + D43) &lt; 0,     0,     (3*(IF(ISBLANK(E43),C43,E43)) + D43)   ))  )       *   (L30/3)+(K43))</f>
        <v>76142.160903560551</v>
      </c>
      <c r="M43" s="492">
        <f>SUM(IF(ISBLANK(D43),      (IF((4*(IF(ISBLANK(E43),C43,E43)) + B43) &lt; 0,     0,     (4*(IF(ISBLANK(E43),C43,E43)) + B43)   )),       (IF((4*(IF(ISBLANK(E43),C43,E43)) + D43) &lt; 0,     0,     (4*(IF(ISBLANK(E43),C43,E43)) + D43)   ))  )       *   (M30/3)+(L43))</f>
        <v>162699.23328198676</v>
      </c>
      <c r="N43" s="492">
        <f>SUM(IF(ISBLANK(D43),      (IF((5*(IF(ISBLANK(E43),C43,E43)) + B43) &lt; 0,     0,     (5*(IF(ISBLANK(E43),C43,E43)) + B43)   )),       (IF((5*(IF(ISBLANK(E43),C43,E43)) + D43) &lt; 0,     0,     (5*(IF(ISBLANK(E43),C43,E43)) + D43)   ))  )       *   (N30/3)+(M43))</f>
        <v>332428.18944775756</v>
      </c>
      <c r="O43" s="217">
        <f t="shared" si="111"/>
        <v>1818801.6111473541</v>
      </c>
      <c r="P43" s="492">
        <f>SUM(IF(ISBLANK(D43),      (IF((6*(IF(ISBLANK(E43),C43,E43)) + B43) &lt; 0,     0,     (6*(IF(ISBLANK(E43),C43,E43)) + B43)   )),       (IF((6*(IF(ISBLANK(E43),C43,E43)) + D43) &lt; 0,     0,     (6*(IF(ISBLANK(E43),C43,E43)) + D43)   ))  )       *   (P30/3)+(N43))</f>
        <v>658475.36312461249</v>
      </c>
      <c r="Q43" s="492">
        <f>SUM(IF(ISBLANK(D43),      (IF((7*(IF(ISBLANK(E43),C43,E43)) + B43) &lt; 0,     0,     (7*(IF(ISBLANK(E43),C43,E43)) + B43)   )),       (IF((7*(IF(ISBLANK(E43),C43,E43)) + D43) &lt; 0,     0,     (7*(IF(ISBLANK(E43),C43,E43)) + D43)   ))  )       *   (Q30/3)+(P43))</f>
        <v>1220049.0693481572</v>
      </c>
      <c r="R43" s="492">
        <f>SUM(IF(ISBLANK(D43),      (IF((8*(IF(ISBLANK(E43),C43,E43)) + B43) &lt; 0,     0,     (8*(IF(ISBLANK(E43),C43,E43)) + B43)   )),       (IF((8*(IF(ISBLANK(E43),C43,E43)) + D43) &lt; 0,     0,     (8*(IF(ISBLANK(E43),C43,E43)) + D43)   ))  )       *   (R30/3)+(Q43))</f>
        <v>2080837.9905348746</v>
      </c>
      <c r="S43" s="492">
        <f>SUM(IF(ISBLANK(D43),      (IF((9*(IF(ISBLANK(E43),C43,E43)) + B43) &lt; 0,     0,     (9*(IF(ISBLANK(E43),C43,E43)) + B43)   )),       (IF((9*(IF(ISBLANK(E43),C43,E43)) + D43) &lt; 0,     0,     (9*(IF(ISBLANK(E43),C43,E43)) + D43)   ))  )       *   (S30/3)+(R43))</f>
        <v>3077381.8087330274</v>
      </c>
      <c r="T43" s="218">
        <f t="shared" si="112"/>
        <v>21110232.695222013</v>
      </c>
      <c r="U43" s="221"/>
      <c r="V43" s="239">
        <f>SUM(IF(ISBLANK(D43),      (IF((10*(IF(ISBLANK(E43),C43,E43)) + B43) &lt; 0,     0,     (10*(IF(ISBLANK(E43),C43,E43)) + B43)   )),       (IF((10*(IF(ISBLANK(E43),C43,E43)) + D43) &lt; 0,     0,     (10*(IF(ISBLANK(E43),C43,E43)) + D43)   ))  )       *   (V30)+(S43))*12</f>
        <v>36928581.704796329</v>
      </c>
      <c r="W43" s="217">
        <f>SUM(IF(ISBLANK(D43),      (IF((11*(IF(ISBLANK(E43),C43,E43)) + B43) &lt; 0,     0,     (11*(IF(ISBLANK(E43),C43,E43)) + B43)   )),       (IF((11*(IF(ISBLANK(E43),C43,E43)) + D43) &lt; 0,     0,     (11*(IF(ISBLANK(E43),C43,E43)) + D43)   ))  )       *   (W30)+(V43))</f>
        <v>36928581.704796329</v>
      </c>
      <c r="X43" s="242">
        <f>SUM(IF(ISBLANK(D43),      (IF((12*(IF(ISBLANK(E43),C43,E43)) + B43) &lt; 0,     0,     (12*(IF(ISBLANK(E43),C43,E43)) + B43)   )),       (IF((12*(IF(ISBLANK(E43),C43,E43)) + D43) &lt; 0,     0,     (12*(IF(ISBLANK(E43),C43,E43)) + D43)   ))  )       *   (X30)+(W43))</f>
        <v>36928581.704796329</v>
      </c>
      <c r="Y43" s="221"/>
      <c r="Z43" s="578">
        <f>SUM(1150+61191+16520+16425+10520+4487)</f>
        <v>110293</v>
      </c>
      <c r="AA43" s="617"/>
      <c r="AB43" s="532">
        <f t="shared" si="113"/>
        <v>10000</v>
      </c>
      <c r="AC43" s="492">
        <f t="shared" si="114"/>
        <v>10000</v>
      </c>
      <c r="AD43" s="492">
        <f t="shared" si="115"/>
        <v>10000</v>
      </c>
      <c r="AE43" s="492">
        <f t="shared" si="98"/>
        <v>30000</v>
      </c>
      <c r="AF43" s="222"/>
      <c r="AG43" s="532">
        <f t="shared" si="116"/>
        <v>10000</v>
      </c>
      <c r="AH43" s="492">
        <f t="shared" si="117"/>
        <v>10000</v>
      </c>
      <c r="AI43" s="492">
        <f t="shared" si="118"/>
        <v>10000</v>
      </c>
      <c r="AJ43" s="492">
        <f t="shared" si="99"/>
        <v>30000</v>
      </c>
      <c r="AK43" s="222"/>
      <c r="AL43" s="532">
        <f t="shared" si="119"/>
        <v>11232.234977576665</v>
      </c>
      <c r="AM43" s="492">
        <f t="shared" si="120"/>
        <v>11232.234977576665</v>
      </c>
      <c r="AN43" s="492">
        <f t="shared" si="121"/>
        <v>11232.234977576665</v>
      </c>
      <c r="AO43" s="492">
        <f t="shared" si="100"/>
        <v>33696.704932729997</v>
      </c>
      <c r="AP43" s="222"/>
      <c r="AQ43" s="532">
        <f t="shared" si="122"/>
        <v>17388.88282432334</v>
      </c>
      <c r="AR43" s="492">
        <f t="shared" si="123"/>
        <v>17388.88282432334</v>
      </c>
      <c r="AS43" s="492">
        <f t="shared" si="124"/>
        <v>17388.88282432334</v>
      </c>
      <c r="AT43" s="492">
        <f t="shared" si="101"/>
        <v>52166.648472970017</v>
      </c>
      <c r="AU43" s="222"/>
      <c r="AV43" s="617"/>
      <c r="AW43" s="532">
        <f t="shared" si="125"/>
        <v>34997.620082479843</v>
      </c>
      <c r="AX43" s="492">
        <f t="shared" si="126"/>
        <v>34997.620082479843</v>
      </c>
      <c r="AY43" s="492">
        <f t="shared" si="127"/>
        <v>34997.620082479843</v>
      </c>
      <c r="AZ43" s="492">
        <f t="shared" si="102"/>
        <v>104992.86024743953</v>
      </c>
      <c r="BA43" s="222"/>
      <c r="BB43" s="532">
        <f t="shared" si="128"/>
        <v>76142.160903560551</v>
      </c>
      <c r="BC43" s="492">
        <f t="shared" si="129"/>
        <v>76142.160903560551</v>
      </c>
      <c r="BD43" s="492">
        <f t="shared" si="130"/>
        <v>76142.160903560551</v>
      </c>
      <c r="BE43" s="492">
        <f t="shared" si="103"/>
        <v>228426.48271068165</v>
      </c>
      <c r="BF43" s="222"/>
      <c r="BG43" s="532">
        <f t="shared" si="131"/>
        <v>162699.23328198676</v>
      </c>
      <c r="BH43" s="492">
        <f t="shared" si="132"/>
        <v>162699.23328198676</v>
      </c>
      <c r="BI43" s="492">
        <f t="shared" si="133"/>
        <v>162699.23328198676</v>
      </c>
      <c r="BJ43" s="492">
        <f t="shared" si="104"/>
        <v>488097.69984596025</v>
      </c>
      <c r="BK43" s="222"/>
      <c r="BL43" s="532">
        <f t="shared" si="134"/>
        <v>332428.18944775756</v>
      </c>
      <c r="BM43" s="492">
        <f t="shared" si="135"/>
        <v>332428.18944775756</v>
      </c>
      <c r="BN43" s="492">
        <f t="shared" si="136"/>
        <v>332428.18944775756</v>
      </c>
      <c r="BO43" s="492">
        <f t="shared" si="105"/>
        <v>997284.56834327267</v>
      </c>
      <c r="BP43" s="222"/>
      <c r="BQ43" s="221"/>
      <c r="BR43" s="532">
        <f t="shared" si="137"/>
        <v>658475.36312461249</v>
      </c>
      <c r="BS43" s="492">
        <f t="shared" si="138"/>
        <v>658475.36312461249</v>
      </c>
      <c r="BT43" s="492">
        <f t="shared" si="139"/>
        <v>658475.36312461249</v>
      </c>
      <c r="BU43" s="492">
        <f t="shared" si="106"/>
        <v>1975426.0893738375</v>
      </c>
      <c r="BV43" s="222"/>
      <c r="BW43" s="532">
        <f t="shared" si="140"/>
        <v>1220049.0693481572</v>
      </c>
      <c r="BX43" s="492">
        <f t="shared" si="141"/>
        <v>1220049.0693481572</v>
      </c>
      <c r="BY43" s="492">
        <f t="shared" si="142"/>
        <v>1220049.0693481572</v>
      </c>
      <c r="BZ43" s="492">
        <f t="shared" si="107"/>
        <v>3660147.2080444712</v>
      </c>
      <c r="CA43" s="222"/>
      <c r="CB43" s="532">
        <f t="shared" si="143"/>
        <v>2080837.9905348746</v>
      </c>
      <c r="CC43" s="492">
        <f t="shared" si="144"/>
        <v>2080837.9905348746</v>
      </c>
      <c r="CD43" s="492">
        <f t="shared" si="145"/>
        <v>2080837.9905348746</v>
      </c>
      <c r="CE43" s="492">
        <f t="shared" si="108"/>
        <v>6242513.9716046238</v>
      </c>
      <c r="CF43" s="222"/>
      <c r="CG43" s="532">
        <f t="shared" si="146"/>
        <v>3077381.8087330274</v>
      </c>
      <c r="CH43" s="492">
        <f t="shared" si="147"/>
        <v>3077381.8087330274</v>
      </c>
      <c r="CI43" s="492">
        <f t="shared" si="148"/>
        <v>3077381.8087330274</v>
      </c>
      <c r="CJ43" s="492">
        <f t="shared" si="109"/>
        <v>9232145.4261990823</v>
      </c>
      <c r="CK43" s="222"/>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row>
    <row r="44" spans="1:179" s="57" customFormat="1" ht="9.75" customHeight="1" x14ac:dyDescent="0.15">
      <c r="A44" s="468" t="s">
        <v>198</v>
      </c>
      <c r="B44" s="213">
        <v>3</v>
      </c>
      <c r="C44" s="214">
        <v>-0.05</v>
      </c>
      <c r="D44" s="632"/>
      <c r="E44" s="633"/>
      <c r="F44" s="215">
        <v>6</v>
      </c>
      <c r="G44" s="216">
        <v>5</v>
      </c>
      <c r="H44" s="493">
        <f>SUM((IF(ISBLANK(D44),B44,D44)))</f>
        <v>3</v>
      </c>
      <c r="I44" s="493">
        <f>SUM(H44+(IF(ISBLANK(E44),C44,E44)))</f>
        <v>2.95</v>
      </c>
      <c r="J44" s="219">
        <f>SUM((F44+G44+H44+I44)/4)</f>
        <v>4.2374999999999998</v>
      </c>
      <c r="K44" s="493">
        <f>SUM(I44+(IF(ISBLANK(E44),C44,E44)))</f>
        <v>2.9000000000000004</v>
      </c>
      <c r="L44" s="493">
        <f>SUM(K44+(IF(ISBLANK(E44),C44,E44)))</f>
        <v>2.8500000000000005</v>
      </c>
      <c r="M44" s="493">
        <f>SUM(L44+(IF(ISBLANK(E44),C44,E44)))</f>
        <v>2.8000000000000007</v>
      </c>
      <c r="N44" s="493">
        <f>SUM(M44+(IF(ISBLANK(E44),C44,E44)))</f>
        <v>2.7500000000000009</v>
      </c>
      <c r="O44" s="219">
        <f>SUM(K44+L44+M44+N44)/4</f>
        <v>2.8250000000000002</v>
      </c>
      <c r="P44" s="493">
        <f>SUM(N44+(IF(ISBLANK(E44),C44,E44)))</f>
        <v>2.7000000000000011</v>
      </c>
      <c r="Q44" s="493">
        <f>SUM(P44+(IF(ISBLANK(E44),C44,E44)))</f>
        <v>2.6500000000000012</v>
      </c>
      <c r="R44" s="493">
        <f>SUM(Q44+(IF(ISBLANK(E44),C44,E44)))</f>
        <v>2.6000000000000014</v>
      </c>
      <c r="S44" s="493">
        <f>SUM(R44+(IF(ISBLANK(E44),C44,E44)))</f>
        <v>2.5500000000000016</v>
      </c>
      <c r="T44" s="214">
        <f>SUM(P44+Q44+R44+S44)/4</f>
        <v>2.6250000000000013</v>
      </c>
      <c r="U44" s="247"/>
      <c r="V44" s="213">
        <f>SUM(S44+(IF(ISBLANK(E44),C44,E44)))</f>
        <v>2.5000000000000018</v>
      </c>
      <c r="W44" s="219">
        <f>SUM(V44+(IF(ISBLANK(E44),C44,E44)))</f>
        <v>2.450000000000002</v>
      </c>
      <c r="X44" s="220">
        <f>SUM(W44+(IF(ISBLANK(E44),C44,E44)))</f>
        <v>2.4000000000000021</v>
      </c>
      <c r="Y44" s="247"/>
      <c r="Z44" s="581">
        <v>1.2</v>
      </c>
      <c r="AA44" s="619"/>
      <c r="AB44" s="495">
        <f>F44</f>
        <v>6</v>
      </c>
      <c r="AC44" s="493">
        <f>F44</f>
        <v>6</v>
      </c>
      <c r="AD44" s="493">
        <f>F44</f>
        <v>6</v>
      </c>
      <c r="AE44" s="493">
        <f>SUM((AB44+AC44+AD44)/3)</f>
        <v>6</v>
      </c>
      <c r="AF44" s="248"/>
      <c r="AG44" s="495">
        <f>G44</f>
        <v>5</v>
      </c>
      <c r="AH44" s="493">
        <f>G44</f>
        <v>5</v>
      </c>
      <c r="AI44" s="493">
        <f>G44</f>
        <v>5</v>
      </c>
      <c r="AJ44" s="493">
        <f>SUM((AG44+AH44+AI44)/3)</f>
        <v>5</v>
      </c>
      <c r="AK44" s="248"/>
      <c r="AL44" s="495">
        <f>H44</f>
        <v>3</v>
      </c>
      <c r="AM44" s="493">
        <f>H44</f>
        <v>3</v>
      </c>
      <c r="AN44" s="493">
        <f>H44</f>
        <v>3</v>
      </c>
      <c r="AO44" s="493">
        <f>SUM((AL44+AM44+AN44)/3)</f>
        <v>3</v>
      </c>
      <c r="AP44" s="248"/>
      <c r="AQ44" s="495">
        <f>I44</f>
        <v>2.95</v>
      </c>
      <c r="AR44" s="493">
        <f>I44</f>
        <v>2.95</v>
      </c>
      <c r="AS44" s="493">
        <f>I44</f>
        <v>2.95</v>
      </c>
      <c r="AT44" s="493">
        <f>SUM((AQ44+AR44+AS44)/3)</f>
        <v>2.9500000000000006</v>
      </c>
      <c r="AU44" s="248"/>
      <c r="AV44" s="619"/>
      <c r="AW44" s="495">
        <f>K44</f>
        <v>2.9000000000000004</v>
      </c>
      <c r="AX44" s="493">
        <f>K44</f>
        <v>2.9000000000000004</v>
      </c>
      <c r="AY44" s="493">
        <f>K44</f>
        <v>2.9000000000000004</v>
      </c>
      <c r="AZ44" s="493">
        <f>SUM((AW44+AX44+AY44)/3)</f>
        <v>2.9000000000000004</v>
      </c>
      <c r="BA44" s="248"/>
      <c r="BB44" s="495">
        <f>L44</f>
        <v>2.8500000000000005</v>
      </c>
      <c r="BC44" s="493">
        <f>L44</f>
        <v>2.8500000000000005</v>
      </c>
      <c r="BD44" s="493">
        <f>L44</f>
        <v>2.8500000000000005</v>
      </c>
      <c r="BE44" s="493">
        <f>SUM((BB44+BC44+BD44)/3)</f>
        <v>2.85</v>
      </c>
      <c r="BF44" s="248"/>
      <c r="BG44" s="495">
        <f>M44</f>
        <v>2.8000000000000007</v>
      </c>
      <c r="BH44" s="493">
        <f>M44</f>
        <v>2.8000000000000007</v>
      </c>
      <c r="BI44" s="493">
        <f>M44</f>
        <v>2.8000000000000007</v>
      </c>
      <c r="BJ44" s="493">
        <f>SUM((BG44+BH44+BI44)/3)</f>
        <v>2.8000000000000007</v>
      </c>
      <c r="BK44" s="248"/>
      <c r="BL44" s="495">
        <f>N44</f>
        <v>2.7500000000000009</v>
      </c>
      <c r="BM44" s="493">
        <f>N44</f>
        <v>2.7500000000000009</v>
      </c>
      <c r="BN44" s="493">
        <f>N44</f>
        <v>2.7500000000000009</v>
      </c>
      <c r="BO44" s="493">
        <f>SUM((BL44+BM44+BN44)/3)</f>
        <v>2.7500000000000013</v>
      </c>
      <c r="BP44" s="248"/>
      <c r="BQ44" s="247"/>
      <c r="BR44" s="495">
        <f>P44</f>
        <v>2.7000000000000011</v>
      </c>
      <c r="BS44" s="493">
        <f>P44</f>
        <v>2.7000000000000011</v>
      </c>
      <c r="BT44" s="493">
        <f>P44</f>
        <v>2.7000000000000011</v>
      </c>
      <c r="BU44" s="493">
        <f>SUM((BR44+BS44+BT44)/3)</f>
        <v>2.7000000000000011</v>
      </c>
      <c r="BV44" s="248"/>
      <c r="BW44" s="495">
        <f>Q44</f>
        <v>2.6500000000000012</v>
      </c>
      <c r="BX44" s="493">
        <f>Q44</f>
        <v>2.6500000000000012</v>
      </c>
      <c r="BY44" s="493">
        <f>Q44</f>
        <v>2.6500000000000012</v>
      </c>
      <c r="BZ44" s="493">
        <f>SUM((BW44+BX44+BY44)/3)</f>
        <v>2.6500000000000012</v>
      </c>
      <c r="CA44" s="248"/>
      <c r="CB44" s="495">
        <f>R44</f>
        <v>2.6000000000000014</v>
      </c>
      <c r="CC44" s="493">
        <f>R44</f>
        <v>2.6000000000000014</v>
      </c>
      <c r="CD44" s="493">
        <f>R44</f>
        <v>2.6000000000000014</v>
      </c>
      <c r="CE44" s="493">
        <f>SUM((CB44+CC44+CD44)/3)</f>
        <v>2.6000000000000014</v>
      </c>
      <c r="CF44" s="248"/>
      <c r="CG44" s="495">
        <f>S44</f>
        <v>2.5500000000000016</v>
      </c>
      <c r="CH44" s="493">
        <f>S44</f>
        <v>2.5500000000000016</v>
      </c>
      <c r="CI44" s="493">
        <f>S44</f>
        <v>2.5500000000000016</v>
      </c>
      <c r="CJ44" s="493">
        <f>SUM((CG44+CH44+CI44)/3)</f>
        <v>2.5500000000000016</v>
      </c>
      <c r="CK44" s="248"/>
    </row>
    <row r="45" spans="1:179" s="57" customFormat="1" ht="9.75" customHeight="1" x14ac:dyDescent="0.15">
      <c r="A45" s="488" t="s">
        <v>199</v>
      </c>
      <c r="B45" s="145">
        <v>0.3</v>
      </c>
      <c r="C45" s="218">
        <v>10000000</v>
      </c>
      <c r="D45" s="291"/>
      <c r="E45" s="229"/>
      <c r="F45" s="226">
        <v>0</v>
      </c>
      <c r="G45" s="227">
        <v>0</v>
      </c>
      <c r="H45" s="492">
        <f>SUM(G45+(IF(IF(ISBLANK(D45),B45,D45)*(G30/3)&gt;(IF(ISBLANK(E45),C45,E45)),IF(ISBLANK(E45),C45,E45),IF(ISBLANK(D45),B45,D45)*(G30/3))))</f>
        <v>0</v>
      </c>
      <c r="I45" s="491">
        <f>SUM(G45+(IF(IF(ISBLANK(D45),B45,D45)*(H30/3)&gt;(IF(ISBLANK(E45),C45,E45)),IF(ISBLANK(E45),C45,E45),IF(ISBLANK(D45),B45,D45)*(H30/3))))</f>
        <v>3696.7049327299965</v>
      </c>
      <c r="J45" s="217">
        <f t="shared" si="110"/>
        <v>11090.114798189989</v>
      </c>
      <c r="K45" s="492">
        <f>SUM(G45+(IF(IF(ISBLANK(D45),B45,D45)*(I30/3)&gt;(IF(ISBLANK(E45),C45,E45)),IF(ISBLANK(E45),C45,E45),IF(ISBLANK(D45),B45,D45)*(I30/3))))</f>
        <v>20522.15948915558</v>
      </c>
      <c r="L45" s="492">
        <f>SUM(G45+(IF(IF(ISBLANK(D45),B45,D45)*(K30/3)&gt;(IF(ISBLANK(E45),C45,E45)),IF(ISBLANK(E45),C45,E45),IF(ISBLANK(D45),B45,D45)*(K30/3))))</f>
        <v>66032.764718086866</v>
      </c>
      <c r="M45" s="492">
        <f>SUM(G45+(IF(IF(ISBLANK(D45),B45,D45)*(L30/3)&gt;(IF(ISBLANK(E45),C45,E45)),IF(ISBLANK(E45),C45,E45),IF(ISBLANK(D45),B45,D45)*(L30/3))))</f>
        <v>176333.74637606018</v>
      </c>
      <c r="N45" s="492">
        <f>SUM(G45+(IF(IF(ISBLANK(D45),B45,D45)*(M30/3)&gt;(IF(ISBLANK(E45),C45,E45)),IF(ISBLANK(E45),C45,E45),IF(ISBLANK(D45),B45,D45)*(M30/3))))</f>
        <v>432785.36189213098</v>
      </c>
      <c r="O45" s="217">
        <f t="shared" si="111"/>
        <v>2087022.0974263009</v>
      </c>
      <c r="P45" s="492">
        <f>SUM(G45+(IF(IF(ISBLANK(D45),B45,D45)*(N30/3)&gt;(IF(ISBLANK(E45),C45,E45)),IF(ISBLANK(E45),C45,E45),IF(ISBLANK(D45),B45,D45)*(N30/3))))</f>
        <v>1018373.7369946244</v>
      </c>
      <c r="Q45" s="492">
        <f>SUM(G45+(IF(IF(ISBLANK(D45),B45,D45)*(P30/3)&gt;(IF(ISBLANK(E45),C45,E45)),IF(ISBLANK(E45),C45,E45),IF(ISBLANK(D45),B45,D45)*(P30/3))))</f>
        <v>2445353.8025764115</v>
      </c>
      <c r="R45" s="492">
        <f>SUM(G45+(IF(IF(ISBLANK(D45),B45,D45)*(Q30/3)&gt;(IF(ISBLANK(E45),C45,E45)),IF(ISBLANK(E45),C45,E45),IF(ISBLANK(D45),B45,D45)*(Q30/3))))</f>
        <v>5615737.0622354476</v>
      </c>
      <c r="S45" s="492">
        <f>SUM(G45+(IF(IF(ISBLANK(D45),B45,D45)*(R30/3)&gt;(IF(ISBLANK(E45),C45,E45)),IF(ISBLANK(E45),C45,E45),IF(ISBLANK(D45),B45,D45)*(R30/3))))</f>
        <v>10000000</v>
      </c>
      <c r="T45" s="218">
        <f t="shared" si="112"/>
        <v>57238393.805419445</v>
      </c>
      <c r="U45" s="221"/>
      <c r="V45" s="239">
        <f>SUM(G45+(IF(IF(ISBLANK(D45),B45,D45)*(S30)&gt;(IF(ISBLANK(E45),C45,E45)),IF(ISBLANK(E45),C45,E45),IF(ISBLANK(D45),B45,D45)*(S30))))</f>
        <v>10000000</v>
      </c>
      <c r="W45" s="217">
        <f>SUM(G45+(IF(IF(ISBLANK(D45),B45,D45)*(V30)&gt;(IF(ISBLANK(E45),C45,E45)),IF(ISBLANK(E45),C45,E45),IF(ISBLANK(D45),B45,D45)*(V30))))</f>
        <v>10000000</v>
      </c>
      <c r="X45" s="242">
        <f>SUM(G45+(IF(IF(ISBLANK(D45),B45,D45)*(W30)&gt;(IF(ISBLANK(E45),C45,E45)),IF(ISBLANK(E45),C45,E45),IF(ISBLANK(D45),B45,D45)*(W30))))</f>
        <v>10000000</v>
      </c>
      <c r="Y45" s="221"/>
      <c r="Z45" s="578">
        <v>0</v>
      </c>
      <c r="AA45" s="617"/>
      <c r="AB45" s="532">
        <f t="shared" si="113"/>
        <v>0</v>
      </c>
      <c r="AC45" s="492">
        <f t="shared" si="114"/>
        <v>0</v>
      </c>
      <c r="AD45" s="492">
        <f t="shared" si="115"/>
        <v>0</v>
      </c>
      <c r="AE45" s="492">
        <f>SUM(AB45:AD45)</f>
        <v>0</v>
      </c>
      <c r="AF45" s="222"/>
      <c r="AG45" s="532">
        <f t="shared" si="116"/>
        <v>0</v>
      </c>
      <c r="AH45" s="492">
        <f t="shared" si="117"/>
        <v>0</v>
      </c>
      <c r="AI45" s="492">
        <f t="shared" si="118"/>
        <v>0</v>
      </c>
      <c r="AJ45" s="492">
        <f t="shared" si="99"/>
        <v>0</v>
      </c>
      <c r="AK45" s="222"/>
      <c r="AL45" s="532">
        <f t="shared" si="119"/>
        <v>0</v>
      </c>
      <c r="AM45" s="492">
        <f t="shared" si="120"/>
        <v>0</v>
      </c>
      <c r="AN45" s="492">
        <f t="shared" si="121"/>
        <v>0</v>
      </c>
      <c r="AO45" s="492">
        <f>SUM(AL45:AN45)</f>
        <v>0</v>
      </c>
      <c r="AP45" s="222"/>
      <c r="AQ45" s="532">
        <f t="shared" si="122"/>
        <v>3696.7049327299965</v>
      </c>
      <c r="AR45" s="492">
        <f t="shared" si="123"/>
        <v>3696.7049327299965</v>
      </c>
      <c r="AS45" s="492">
        <f t="shared" si="124"/>
        <v>3696.7049327299965</v>
      </c>
      <c r="AT45" s="492">
        <f>SUM(AQ45:AS45)</f>
        <v>11090.114798189989</v>
      </c>
      <c r="AU45" s="222"/>
      <c r="AV45" s="617"/>
      <c r="AW45" s="532">
        <f t="shared" si="125"/>
        <v>20522.15948915558</v>
      </c>
      <c r="AX45" s="492">
        <f t="shared" si="126"/>
        <v>20522.15948915558</v>
      </c>
      <c r="AY45" s="492">
        <f t="shared" si="127"/>
        <v>20522.15948915558</v>
      </c>
      <c r="AZ45" s="492">
        <f>SUM(AW45:AY45)</f>
        <v>61566.478467466739</v>
      </c>
      <c r="BA45" s="222"/>
      <c r="BB45" s="532">
        <f t="shared" si="128"/>
        <v>66032.764718086866</v>
      </c>
      <c r="BC45" s="492">
        <f t="shared" si="129"/>
        <v>66032.764718086866</v>
      </c>
      <c r="BD45" s="492">
        <f t="shared" si="130"/>
        <v>66032.764718086866</v>
      </c>
      <c r="BE45" s="492">
        <f>SUM(BB45:BD45)</f>
        <v>198098.2941542606</v>
      </c>
      <c r="BF45" s="222"/>
      <c r="BG45" s="532">
        <f t="shared" si="131"/>
        <v>176333.74637606018</v>
      </c>
      <c r="BH45" s="492">
        <f t="shared" si="132"/>
        <v>176333.74637606018</v>
      </c>
      <c r="BI45" s="492">
        <f t="shared" si="133"/>
        <v>176333.74637606018</v>
      </c>
      <c r="BJ45" s="492">
        <f>SUM(BG45:BI45)</f>
        <v>529001.23912818055</v>
      </c>
      <c r="BK45" s="222"/>
      <c r="BL45" s="532">
        <f t="shared" si="134"/>
        <v>432785.36189213098</v>
      </c>
      <c r="BM45" s="492">
        <f t="shared" si="135"/>
        <v>432785.36189213098</v>
      </c>
      <c r="BN45" s="492">
        <f t="shared" si="136"/>
        <v>432785.36189213098</v>
      </c>
      <c r="BO45" s="492">
        <f>SUM(BL45:BN45)</f>
        <v>1298356.085676393</v>
      </c>
      <c r="BP45" s="222"/>
      <c r="BQ45" s="221"/>
      <c r="BR45" s="532">
        <f t="shared" si="137"/>
        <v>1018373.7369946244</v>
      </c>
      <c r="BS45" s="492">
        <f>P45</f>
        <v>1018373.7369946244</v>
      </c>
      <c r="BT45" s="492">
        <f t="shared" si="139"/>
        <v>1018373.7369946244</v>
      </c>
      <c r="BU45" s="492">
        <f>SUM(BR45:BT45)</f>
        <v>3055121.2109838733</v>
      </c>
      <c r="BV45" s="222"/>
      <c r="BW45" s="532">
        <f t="shared" si="140"/>
        <v>2445353.8025764115</v>
      </c>
      <c r="BX45" s="492">
        <f t="shared" si="141"/>
        <v>2445353.8025764115</v>
      </c>
      <c r="BY45" s="492">
        <f t="shared" si="142"/>
        <v>2445353.8025764115</v>
      </c>
      <c r="BZ45" s="492">
        <f>SUM(BW45:BY45)</f>
        <v>7336061.4077292345</v>
      </c>
      <c r="CA45" s="222"/>
      <c r="CB45" s="532">
        <f t="shared" si="143"/>
        <v>5615737.0622354476</v>
      </c>
      <c r="CC45" s="492">
        <f t="shared" si="144"/>
        <v>5615737.0622354476</v>
      </c>
      <c r="CD45" s="492">
        <f t="shared" si="145"/>
        <v>5615737.0622354476</v>
      </c>
      <c r="CE45" s="492">
        <f>SUM(CB45:CD45)</f>
        <v>16847211.186706342</v>
      </c>
      <c r="CF45" s="222"/>
      <c r="CG45" s="532">
        <f t="shared" si="146"/>
        <v>10000000</v>
      </c>
      <c r="CH45" s="492">
        <f t="shared" si="147"/>
        <v>10000000</v>
      </c>
      <c r="CI45" s="492">
        <f t="shared" si="148"/>
        <v>10000000</v>
      </c>
      <c r="CJ45" s="492">
        <f>SUM(CG45:CI45)</f>
        <v>30000000</v>
      </c>
      <c r="CK45" s="222"/>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row>
    <row r="46" spans="1:179" s="57" customFormat="1" ht="9.75" customHeight="1" x14ac:dyDescent="0.15">
      <c r="A46" s="488" t="s">
        <v>200</v>
      </c>
      <c r="B46" s="239">
        <v>100000</v>
      </c>
      <c r="C46" s="218"/>
      <c r="D46" s="228"/>
      <c r="E46" s="229"/>
      <c r="F46" s="226">
        <v>1000</v>
      </c>
      <c r="G46" s="227">
        <f>SUM((IF(ISBLANK(D46),B46,D46)/3)*0.35)</f>
        <v>11666.666666666666</v>
      </c>
      <c r="H46" s="492">
        <f>SUM((IF(ISBLANK(D46),B46,D46)/3)*0.3)</f>
        <v>10000</v>
      </c>
      <c r="I46" s="491">
        <f>SUM((IF(ISBLANK(D46),B46,D46)/3)*0.2)</f>
        <v>6666.6666666666679</v>
      </c>
      <c r="J46" s="217">
        <f>SUM(F46:I46)*3</f>
        <v>88000</v>
      </c>
      <c r="K46" s="492">
        <f>SUM((IF(ISBLANK(D46),B46,D46)/3)*0.15)</f>
        <v>5000</v>
      </c>
      <c r="L46" s="492">
        <v>0</v>
      </c>
      <c r="M46" s="492">
        <v>0</v>
      </c>
      <c r="N46" s="492">
        <v>0</v>
      </c>
      <c r="O46" s="217">
        <f>SUM(K46:N46)*3</f>
        <v>15000</v>
      </c>
      <c r="P46" s="492">
        <v>0</v>
      </c>
      <c r="Q46" s="492">
        <v>0</v>
      </c>
      <c r="R46" s="492">
        <v>0</v>
      </c>
      <c r="S46" s="492">
        <v>0</v>
      </c>
      <c r="T46" s="218">
        <f>SUM(P46:S46)*3</f>
        <v>0</v>
      </c>
      <c r="U46" s="221"/>
      <c r="V46" s="239">
        <v>0</v>
      </c>
      <c r="W46" s="217">
        <v>0</v>
      </c>
      <c r="X46" s="242">
        <v>0</v>
      </c>
      <c r="Y46" s="221"/>
      <c r="Z46" s="578">
        <v>2000</v>
      </c>
      <c r="AA46" s="617"/>
      <c r="AB46" s="532">
        <f t="shared" si="113"/>
        <v>1000</v>
      </c>
      <c r="AC46" s="492">
        <f t="shared" si="114"/>
        <v>1000</v>
      </c>
      <c r="AD46" s="492">
        <f t="shared" si="115"/>
        <v>1000</v>
      </c>
      <c r="AE46" s="492">
        <f>SUM(AB46:AD46)</f>
        <v>3000</v>
      </c>
      <c r="AF46" s="222"/>
      <c r="AG46" s="532">
        <f t="shared" si="116"/>
        <v>11666.666666666666</v>
      </c>
      <c r="AH46" s="492">
        <f t="shared" si="117"/>
        <v>11666.666666666666</v>
      </c>
      <c r="AI46" s="492">
        <f t="shared" si="118"/>
        <v>11666.666666666666</v>
      </c>
      <c r="AJ46" s="492">
        <f t="shared" si="99"/>
        <v>35000</v>
      </c>
      <c r="AK46" s="222"/>
      <c r="AL46" s="532">
        <f t="shared" si="119"/>
        <v>10000</v>
      </c>
      <c r="AM46" s="492">
        <f t="shared" si="120"/>
        <v>10000</v>
      </c>
      <c r="AN46" s="492">
        <f t="shared" si="121"/>
        <v>10000</v>
      </c>
      <c r="AO46" s="492">
        <f>SUM(AL46:AN46)</f>
        <v>30000</v>
      </c>
      <c r="AP46" s="222"/>
      <c r="AQ46" s="532">
        <f t="shared" si="122"/>
        <v>6666.6666666666679</v>
      </c>
      <c r="AR46" s="492">
        <f t="shared" si="123"/>
        <v>6666.6666666666679</v>
      </c>
      <c r="AS46" s="492">
        <f t="shared" si="124"/>
        <v>6666.6666666666679</v>
      </c>
      <c r="AT46" s="492">
        <f>SUM(AQ46:AS46)</f>
        <v>20000.000000000004</v>
      </c>
      <c r="AU46" s="222"/>
      <c r="AV46" s="617"/>
      <c r="AW46" s="532">
        <f t="shared" si="125"/>
        <v>5000</v>
      </c>
      <c r="AX46" s="492">
        <f t="shared" si="126"/>
        <v>5000</v>
      </c>
      <c r="AY46" s="492">
        <f t="shared" si="127"/>
        <v>5000</v>
      </c>
      <c r="AZ46" s="492">
        <f>SUM(AW46:AY46)</f>
        <v>15000</v>
      </c>
      <c r="BA46" s="222"/>
      <c r="BB46" s="532">
        <f t="shared" si="128"/>
        <v>0</v>
      </c>
      <c r="BC46" s="492">
        <f t="shared" si="129"/>
        <v>0</v>
      </c>
      <c r="BD46" s="492">
        <f t="shared" si="130"/>
        <v>0</v>
      </c>
      <c r="BE46" s="492">
        <f>SUM(BB46:BD46)</f>
        <v>0</v>
      </c>
      <c r="BF46" s="222"/>
      <c r="BG46" s="532">
        <f t="shared" si="131"/>
        <v>0</v>
      </c>
      <c r="BH46" s="492">
        <f t="shared" si="132"/>
        <v>0</v>
      </c>
      <c r="BI46" s="492">
        <f t="shared" si="133"/>
        <v>0</v>
      </c>
      <c r="BJ46" s="492">
        <f>SUM(BG46:BI46)</f>
        <v>0</v>
      </c>
      <c r="BK46" s="222"/>
      <c r="BL46" s="532">
        <f t="shared" si="134"/>
        <v>0</v>
      </c>
      <c r="BM46" s="492">
        <f t="shared" si="135"/>
        <v>0</v>
      </c>
      <c r="BN46" s="492">
        <f t="shared" si="136"/>
        <v>0</v>
      </c>
      <c r="BO46" s="492">
        <f>SUM(BL46:BN46)</f>
        <v>0</v>
      </c>
      <c r="BP46" s="222"/>
      <c r="BQ46" s="221"/>
      <c r="BR46" s="532">
        <f t="shared" si="137"/>
        <v>0</v>
      </c>
      <c r="BS46" s="492">
        <f>P46</f>
        <v>0</v>
      </c>
      <c r="BT46" s="492">
        <f t="shared" si="139"/>
        <v>0</v>
      </c>
      <c r="BU46" s="492">
        <f>SUM(BR46:BT46)</f>
        <v>0</v>
      </c>
      <c r="BV46" s="222"/>
      <c r="BW46" s="532">
        <f t="shared" si="140"/>
        <v>0</v>
      </c>
      <c r="BX46" s="492">
        <f t="shared" si="141"/>
        <v>0</v>
      </c>
      <c r="BY46" s="492">
        <f t="shared" si="142"/>
        <v>0</v>
      </c>
      <c r="BZ46" s="492">
        <f>SUM(BW46:BY46)</f>
        <v>0</v>
      </c>
      <c r="CA46" s="222"/>
      <c r="CB46" s="532">
        <f t="shared" si="143"/>
        <v>0</v>
      </c>
      <c r="CC46" s="492">
        <f t="shared" si="144"/>
        <v>0</v>
      </c>
      <c r="CD46" s="492">
        <f t="shared" si="145"/>
        <v>0</v>
      </c>
      <c r="CE46" s="492">
        <f>SUM(CB46:CD46)</f>
        <v>0</v>
      </c>
      <c r="CF46" s="222"/>
      <c r="CG46" s="532">
        <f t="shared" si="146"/>
        <v>0</v>
      </c>
      <c r="CH46" s="492">
        <f t="shared" si="147"/>
        <v>0</v>
      </c>
      <c r="CI46" s="492">
        <f t="shared" si="148"/>
        <v>0</v>
      </c>
      <c r="CJ46" s="492">
        <f>SUM(CG46:CI46)</f>
        <v>0</v>
      </c>
      <c r="CK46" s="222"/>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row>
    <row r="47" spans="1:179" s="57" customFormat="1" ht="9.75" customHeight="1" x14ac:dyDescent="0.15">
      <c r="A47" s="421" t="s">
        <v>239</v>
      </c>
      <c r="B47" s="249"/>
      <c r="C47" s="250"/>
      <c r="D47" s="249"/>
      <c r="E47" s="251"/>
      <c r="F47" s="419">
        <f>AE47</f>
        <v>132082.35642221541</v>
      </c>
      <c r="G47" s="420">
        <f>AJ47</f>
        <v>164168.57042458723</v>
      </c>
      <c r="H47" s="420">
        <f>AO47</f>
        <v>183755.20223058364</v>
      </c>
      <c r="I47" s="420">
        <f>AT47</f>
        <v>282384.08194954484</v>
      </c>
      <c r="J47" s="211">
        <f>SUM(F47:I47)</f>
        <v>762390.21102693118</v>
      </c>
      <c r="K47" s="420">
        <f>AZ47</f>
        <v>617057.31409165228</v>
      </c>
      <c r="L47" s="420">
        <f>BE47</f>
        <v>1404770.5093949882</v>
      </c>
      <c r="M47" s="420">
        <f>BJ47</f>
        <v>3240600.600763856</v>
      </c>
      <c r="N47" s="420">
        <f>BO47</f>
        <v>7172215.1542877872</v>
      </c>
      <c r="O47" s="211">
        <f>SUM(K47:N47)</f>
        <v>12434643.578538284</v>
      </c>
      <c r="P47" s="420">
        <f>BU47</f>
        <v>15637515.660253573</v>
      </c>
      <c r="Q47" s="420">
        <f>BZ47</f>
        <v>33986729.180921242</v>
      </c>
      <c r="R47" s="420">
        <f>CE47</f>
        <v>71549712.925709441</v>
      </c>
      <c r="S47" s="420">
        <f>CJ47</f>
        <v>141409424.51828164</v>
      </c>
      <c r="T47" s="230">
        <f>SUM(P47:S47)</f>
        <v>262583382.28516591</v>
      </c>
      <c r="U47" s="232"/>
      <c r="V47" s="231">
        <f>SUM(V33:V45)</f>
        <v>2130759440.802325</v>
      </c>
      <c r="W47" s="211">
        <f>SUM(W33:W45)</f>
        <v>4752232916.3721476</v>
      </c>
      <c r="X47" s="212">
        <f>SUM(X33:X45)</f>
        <v>10201065929.766993</v>
      </c>
      <c r="Y47" s="232"/>
      <c r="Z47" s="579">
        <f>SUM(Z33:Z46)</f>
        <v>1083618.2</v>
      </c>
      <c r="AA47" s="618"/>
      <c r="AB47" s="535">
        <f>SUM(AB33:AB46)</f>
        <v>44027.452140738467</v>
      </c>
      <c r="AC47" s="420">
        <f>SUM(AC33:AC46)</f>
        <v>44027.452140738467</v>
      </c>
      <c r="AD47" s="420">
        <f>SUM(AD33:AD46)</f>
        <v>44027.452140738467</v>
      </c>
      <c r="AE47" s="211">
        <f>SUM(AB47:AD47)</f>
        <v>132082.35642221541</v>
      </c>
      <c r="AF47" s="212"/>
      <c r="AG47" s="535">
        <f>SUM(AG33:AG46)</f>
        <v>54722.856808195742</v>
      </c>
      <c r="AH47" s="420">
        <f>SUM(AH33:AH46)</f>
        <v>54722.856808195742</v>
      </c>
      <c r="AI47" s="420">
        <f>SUM(AI33:AI46)</f>
        <v>54722.856808195742</v>
      </c>
      <c r="AJ47" s="211">
        <f>SUM(AG47:AI47)</f>
        <v>164168.57042458723</v>
      </c>
      <c r="AK47" s="212"/>
      <c r="AL47" s="535">
        <f>SUM(AL33:AL46)</f>
        <v>61251.734076861219</v>
      </c>
      <c r="AM47" s="420">
        <f>SUM(AM33:AM46)</f>
        <v>61251.734076861219</v>
      </c>
      <c r="AN47" s="420">
        <f>SUM(AN33:AN46)</f>
        <v>61251.734076861219</v>
      </c>
      <c r="AO47" s="211">
        <f>SUM(AL47:AN47)</f>
        <v>183755.20223058364</v>
      </c>
      <c r="AP47" s="212"/>
      <c r="AQ47" s="535">
        <f>SUM(AQ33:AQ46)</f>
        <v>94128.027316514941</v>
      </c>
      <c r="AR47" s="420">
        <f>SUM(AR33:AR46)</f>
        <v>94128.027316514941</v>
      </c>
      <c r="AS47" s="420">
        <f>SUM(AS33:AS46)</f>
        <v>94128.027316514941</v>
      </c>
      <c r="AT47" s="211">
        <f>SUM(AQ47:AS47)</f>
        <v>282384.08194954484</v>
      </c>
      <c r="AU47" s="212"/>
      <c r="AV47" s="618"/>
      <c r="AW47" s="535">
        <f>SUM(AW33:AW46)</f>
        <v>205685.77136388409</v>
      </c>
      <c r="AX47" s="420">
        <f>SUM(AX33:AX46)</f>
        <v>205685.77136388409</v>
      </c>
      <c r="AY47" s="420">
        <f>SUM(AY33:AY46)</f>
        <v>205685.77136388409</v>
      </c>
      <c r="AZ47" s="211">
        <f>SUM(AW47:AY47)</f>
        <v>617057.31409165228</v>
      </c>
      <c r="BA47" s="212"/>
      <c r="BB47" s="535">
        <f>SUM(BB33:BB46)</f>
        <v>468256.83646499604</v>
      </c>
      <c r="BC47" s="420">
        <f>SUM(BC33:BC46)</f>
        <v>468256.83646499604</v>
      </c>
      <c r="BD47" s="420">
        <f>SUM(BD33:BD46)</f>
        <v>468256.83646499604</v>
      </c>
      <c r="BE47" s="211">
        <f>SUM(BB47:BD47)</f>
        <v>1404770.5093949882</v>
      </c>
      <c r="BF47" s="212"/>
      <c r="BG47" s="535">
        <f>SUM(BG33:BG46)</f>
        <v>1080200.2002546187</v>
      </c>
      <c r="BH47" s="420">
        <f>SUM(BH33:BH46)</f>
        <v>1080200.2002546187</v>
      </c>
      <c r="BI47" s="420">
        <f>SUM(BI33:BI46)</f>
        <v>1080200.2002546187</v>
      </c>
      <c r="BJ47" s="211">
        <f>SUM(BG47:BI47)</f>
        <v>3240600.600763856</v>
      </c>
      <c r="BK47" s="212"/>
      <c r="BL47" s="535">
        <f>SUM(BL33:BL46)</f>
        <v>2390738.3847625959</v>
      </c>
      <c r="BM47" s="420">
        <f>SUM(BM33:BM46)</f>
        <v>2390738.3847625959</v>
      </c>
      <c r="BN47" s="420">
        <f>SUM(BN33:BN46)</f>
        <v>2390738.3847625959</v>
      </c>
      <c r="BO47" s="211">
        <f>SUM(BL47:BN47)</f>
        <v>7172215.1542877872</v>
      </c>
      <c r="BP47" s="212"/>
      <c r="BQ47" s="232"/>
      <c r="BR47" s="535">
        <f>SUM(BR33:BR46)</f>
        <v>5212505.2200845247</v>
      </c>
      <c r="BS47" s="420">
        <f>SUM(BS33:BS46)</f>
        <v>5212505.2200845247</v>
      </c>
      <c r="BT47" s="420">
        <f>SUM(BT33:BT46)</f>
        <v>5212505.2200845247</v>
      </c>
      <c r="BU47" s="211">
        <f>SUM(BR47:BT47)</f>
        <v>15637515.660253573</v>
      </c>
      <c r="BV47" s="212"/>
      <c r="BW47" s="535">
        <f>SUM(BW33:BW46)</f>
        <v>11328909.726973746</v>
      </c>
      <c r="BX47" s="420">
        <f>SUM(BX33:BX46)</f>
        <v>11328909.726973746</v>
      </c>
      <c r="BY47" s="420">
        <f>SUM(BY33:BY46)</f>
        <v>11328909.726973746</v>
      </c>
      <c r="BZ47" s="211">
        <f>SUM(BW47:BY47)</f>
        <v>33986729.180921242</v>
      </c>
      <c r="CA47" s="212"/>
      <c r="CB47" s="535">
        <f>SUM(CB33:CB46)</f>
        <v>23849904.308569815</v>
      </c>
      <c r="CC47" s="420">
        <f>SUM(CC33:CC46)</f>
        <v>23849904.308569815</v>
      </c>
      <c r="CD47" s="420">
        <f>SUM(CD33:CD46)</f>
        <v>23849904.308569815</v>
      </c>
      <c r="CE47" s="211">
        <f>SUM(CB47:CD47)</f>
        <v>71549712.925709441</v>
      </c>
      <c r="CF47" s="212"/>
      <c r="CG47" s="535">
        <f>SUM(CG33:CG46)</f>
        <v>47136474.839427218</v>
      </c>
      <c r="CH47" s="420">
        <f>SUM(CH33:CH46)</f>
        <v>47136474.839427218</v>
      </c>
      <c r="CI47" s="420">
        <f>SUM(CI33:CI46)</f>
        <v>47136474.839427218</v>
      </c>
      <c r="CJ47" s="211">
        <f>SUM(CG47:CI47)</f>
        <v>141409424.51828164</v>
      </c>
      <c r="CK47" s="212"/>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row>
    <row r="48" spans="1:179" s="55" customFormat="1" ht="4.5" customHeight="1" thickBot="1" x14ac:dyDescent="0.2">
      <c r="A48" s="252"/>
      <c r="B48" s="192"/>
      <c r="C48" s="197"/>
      <c r="D48" s="192"/>
      <c r="E48" s="193"/>
      <c r="F48" s="253"/>
      <c r="G48" s="254"/>
      <c r="H48" s="254"/>
      <c r="I48" s="254"/>
      <c r="J48" s="254"/>
      <c r="K48" s="254"/>
      <c r="L48" s="254"/>
      <c r="M48" s="254"/>
      <c r="N48" s="254"/>
      <c r="O48" s="254"/>
      <c r="P48" s="254"/>
      <c r="Q48" s="254"/>
      <c r="R48" s="254"/>
      <c r="S48" s="254"/>
      <c r="T48" s="255"/>
      <c r="U48" s="258"/>
      <c r="V48" s="256"/>
      <c r="W48" s="254"/>
      <c r="X48" s="257"/>
      <c r="Y48" s="258"/>
      <c r="Z48" s="582"/>
      <c r="AA48" s="620"/>
      <c r="AB48" s="595"/>
      <c r="AC48" s="259"/>
      <c r="AD48" s="259"/>
      <c r="AE48" s="259"/>
      <c r="AF48" s="600"/>
      <c r="AG48" s="595"/>
      <c r="AH48" s="259"/>
      <c r="AI48" s="259"/>
      <c r="AJ48" s="259"/>
      <c r="AK48" s="600"/>
      <c r="AL48" s="595"/>
      <c r="AM48" s="259"/>
      <c r="AN48" s="259"/>
      <c r="AO48" s="259"/>
      <c r="AP48" s="600"/>
      <c r="AQ48" s="595"/>
      <c r="AR48" s="259"/>
      <c r="AS48" s="259"/>
      <c r="AT48" s="259"/>
      <c r="AU48" s="600"/>
      <c r="AV48" s="620"/>
      <c r="AW48" s="595"/>
      <c r="AX48" s="259"/>
      <c r="AY48" s="259"/>
      <c r="AZ48" s="259"/>
      <c r="BA48" s="600"/>
      <c r="BB48" s="595"/>
      <c r="BC48" s="259"/>
      <c r="BD48" s="259"/>
      <c r="BE48" s="259"/>
      <c r="BF48" s="600"/>
      <c r="BG48" s="595"/>
      <c r="BH48" s="259"/>
      <c r="BI48" s="259"/>
      <c r="BJ48" s="259"/>
      <c r="BK48" s="600"/>
      <c r="BL48" s="595"/>
      <c r="BM48" s="259"/>
      <c r="BN48" s="259"/>
      <c r="BO48" s="259"/>
      <c r="BP48" s="600"/>
      <c r="BQ48" s="258"/>
      <c r="BR48" s="595"/>
      <c r="BS48" s="259"/>
      <c r="BT48" s="259"/>
      <c r="BU48" s="259"/>
      <c r="BV48" s="600"/>
      <c r="BW48" s="595"/>
      <c r="BX48" s="259"/>
      <c r="BY48" s="259"/>
      <c r="BZ48" s="259"/>
      <c r="CA48" s="600"/>
      <c r="CB48" s="595"/>
      <c r="CC48" s="259"/>
      <c r="CD48" s="259"/>
      <c r="CE48" s="259"/>
      <c r="CF48" s="600"/>
      <c r="CG48" s="595"/>
      <c r="CH48" s="259"/>
      <c r="CI48" s="259"/>
      <c r="CJ48" s="260"/>
      <c r="CK48" s="261"/>
    </row>
    <row r="49" spans="1:179" s="57" customFormat="1" ht="15" customHeight="1" thickBot="1" x14ac:dyDescent="0.2">
      <c r="A49" s="433" t="s">
        <v>221</v>
      </c>
      <c r="B49" s="262"/>
      <c r="C49" s="263"/>
      <c r="D49" s="262"/>
      <c r="E49" s="264"/>
      <c r="F49" s="265">
        <f>AE49</f>
        <v>-132082.35642221541</v>
      </c>
      <c r="G49" s="266">
        <f>AJ49</f>
        <v>-164168.57042458723</v>
      </c>
      <c r="H49" s="266">
        <f>AO49</f>
        <v>-146788.15290328368</v>
      </c>
      <c r="I49" s="266">
        <f>AT49</f>
        <v>-77162.487057989027</v>
      </c>
      <c r="J49" s="267">
        <f>SUM(F49:I49)</f>
        <v>-520201.56680807529</v>
      </c>
      <c r="K49" s="266">
        <f>AZ49</f>
        <v>43270.333089216379</v>
      </c>
      <c r="L49" s="268">
        <f>BE49</f>
        <v>358566.95436561364</v>
      </c>
      <c r="M49" s="268">
        <f>BJ49</f>
        <v>1087253.0181574537</v>
      </c>
      <c r="N49" s="268">
        <f>BO49</f>
        <v>3011522.2156584579</v>
      </c>
      <c r="O49" s="267">
        <f>SUM(K49:N49)</f>
        <v>4500612.5212707417</v>
      </c>
      <c r="P49" s="268">
        <f>BU49</f>
        <v>8816022.3655105419</v>
      </c>
      <c r="Q49" s="268">
        <f>BZ49</f>
        <v>22170641.441433236</v>
      </c>
      <c r="R49" s="268">
        <f>CE49</f>
        <v>57568625.252298132</v>
      </c>
      <c r="S49" s="268">
        <f>CJ49</f>
        <v>157553720.9411639</v>
      </c>
      <c r="T49" s="269">
        <f>SUM(P49:S49)</f>
        <v>246109010.00040579</v>
      </c>
      <c r="U49" s="272"/>
      <c r="V49" s="270">
        <f>SUM(V30-V47)</f>
        <v>1469406682.8014853</v>
      </c>
      <c r="W49" s="267">
        <f>SUM(W30-W47)</f>
        <v>6422229568.1447306</v>
      </c>
      <c r="X49" s="271">
        <f>SUM(X30-X47)</f>
        <v>15930747595.391321</v>
      </c>
      <c r="Y49" s="272"/>
      <c r="Z49" s="583">
        <f>SUM(Z30-Z47)</f>
        <v>-1083618.2</v>
      </c>
      <c r="AA49" s="621"/>
      <c r="AB49" s="596">
        <f>AB30-AB47</f>
        <v>-44027.452140738467</v>
      </c>
      <c r="AC49" s="273">
        <f>AC30-AC47</f>
        <v>-44027.452140738467</v>
      </c>
      <c r="AD49" s="273">
        <f>AD30-AD47</f>
        <v>-44027.452140738467</v>
      </c>
      <c r="AE49" s="274">
        <f>AE30-AE47</f>
        <v>-132082.35642221541</v>
      </c>
      <c r="AF49" s="601"/>
      <c r="AG49" s="596">
        <f>AG30-AG47</f>
        <v>-54722.856808195742</v>
      </c>
      <c r="AH49" s="273">
        <f>AH30-AH47</f>
        <v>-54722.856808195742</v>
      </c>
      <c r="AI49" s="273">
        <f>AI30-AI47</f>
        <v>-54722.856808195742</v>
      </c>
      <c r="AJ49" s="274">
        <f>AJ30-AJ47</f>
        <v>-164168.57042458723</v>
      </c>
      <c r="AK49" s="601"/>
      <c r="AL49" s="596">
        <f>AL30-AL47</f>
        <v>-54395.500298937841</v>
      </c>
      <c r="AM49" s="273">
        <f>AM30-AM47</f>
        <v>-49262.429546012572</v>
      </c>
      <c r="AN49" s="273">
        <f>AN30-AN47</f>
        <v>-43130.223058333286</v>
      </c>
      <c r="AO49" s="274">
        <f>AO30-AO47</f>
        <v>-146788.15290328368</v>
      </c>
      <c r="AP49" s="601"/>
      <c r="AQ49" s="596">
        <f>AQ30-AQ47</f>
        <v>-44819.740734850187</v>
      </c>
      <c r="AR49" s="273">
        <f>AR30-AR47</f>
        <v>-26811.333800202599</v>
      </c>
      <c r="AS49" s="273">
        <f>AS30-AS47</f>
        <v>-5531.4125229362253</v>
      </c>
      <c r="AT49" s="274">
        <f>AT30-AT47</f>
        <v>-77162.487057989027</v>
      </c>
      <c r="AU49" s="601"/>
      <c r="AV49" s="621"/>
      <c r="AW49" s="596">
        <f>AW30-AW47</f>
        <v>-37519.914928459824</v>
      </c>
      <c r="AX49" s="273">
        <f>AX30-AX47</f>
        <v>11591.506192003842</v>
      </c>
      <c r="AY49" s="273">
        <f>AY30-AY47</f>
        <v>69198.741825672332</v>
      </c>
      <c r="AZ49" s="274">
        <f>AZ30-AZ47</f>
        <v>43270.333089216379</v>
      </c>
      <c r="BA49" s="601"/>
      <c r="BB49" s="596">
        <f>BB30-BB47</f>
        <v>-9814.6943966505933</v>
      </c>
      <c r="BC49" s="273">
        <f>BC30-BC47</f>
        <v>112896.6760797975</v>
      </c>
      <c r="BD49" s="273">
        <f>BD30-BD47</f>
        <v>255484.97268246691</v>
      </c>
      <c r="BE49" s="274">
        <f>BE30-BE47</f>
        <v>358566.95436561364</v>
      </c>
      <c r="BF49" s="601"/>
      <c r="BG49" s="596">
        <f>BG30-BG47</f>
        <v>56497.93793441006</v>
      </c>
      <c r="BH49" s="273">
        <f>BH30-BH47</f>
        <v>347760.88304707338</v>
      </c>
      <c r="BI49" s="273">
        <f>BI30-BI47</f>
        <v>682994.1971759703</v>
      </c>
      <c r="BJ49" s="274">
        <f>BJ30-BJ47</f>
        <v>1087253.0181574537</v>
      </c>
      <c r="BK49" s="601"/>
      <c r="BL49" s="596">
        <f>BL30-BL47</f>
        <v>289898.64385187905</v>
      </c>
      <c r="BM49" s="273">
        <f>BM30-BM47</f>
        <v>972022.90908870101</v>
      </c>
      <c r="BN49" s="273">
        <f>BN30-BN47</f>
        <v>1749600.6627178765</v>
      </c>
      <c r="BO49" s="274">
        <f>BO30-BO47</f>
        <v>3011522.2156584579</v>
      </c>
      <c r="BP49" s="601"/>
      <c r="BQ49" s="272"/>
      <c r="BR49" s="596">
        <f>BR30-BR47</f>
        <v>1230281.9303910257</v>
      </c>
      <c r="BS49" s="273">
        <f>BS30-BS47</f>
        <v>2868302.14961146</v>
      </c>
      <c r="BT49" s="273">
        <f>BT30-BT47</f>
        <v>4717438.2855080543</v>
      </c>
      <c r="BU49" s="274">
        <f>BU30-BU47</f>
        <v>8816022.3655105419</v>
      </c>
      <c r="BV49" s="601"/>
      <c r="BW49" s="596">
        <f>BW30-BW47</f>
        <v>3470050.3287232723</v>
      </c>
      <c r="BX49" s="273">
        <f>BX30-BX47</f>
        <v>7242102.5381239802</v>
      </c>
      <c r="BY49" s="273">
        <f>BY30-BY47</f>
        <v>11458488.574585989</v>
      </c>
      <c r="BZ49" s="274">
        <f>BZ30-BZ47</f>
        <v>22170641.441433236</v>
      </c>
      <c r="CA49" s="601"/>
      <c r="CB49" s="596">
        <f>CB30-CB47</f>
        <v>9940302.9383701123</v>
      </c>
      <c r="CC49" s="273">
        <f>CC30-CC47</f>
        <v>18857714.583128545</v>
      </c>
      <c r="CD49" s="273">
        <f>CD30-CD47</f>
        <v>28770607.73079947</v>
      </c>
      <c r="CE49" s="274">
        <f>CE30-CE47</f>
        <v>57568625.252298132</v>
      </c>
      <c r="CF49" s="601"/>
      <c r="CG49" s="596">
        <f>CG30-CG47</f>
        <v>30606143.133798942</v>
      </c>
      <c r="CH49" s="273">
        <f>CH30-CH47</f>
        <v>51740785.36360006</v>
      </c>
      <c r="CI49" s="273">
        <f>CI30-CI47</f>
        <v>75206792.443764895</v>
      </c>
      <c r="CJ49" s="267">
        <f>CJ30-CJ47</f>
        <v>157553720.9411639</v>
      </c>
      <c r="CK49" s="271"/>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row>
    <row r="50" spans="1:179" s="57" customFormat="1" ht="9.75" customHeight="1" x14ac:dyDescent="0.15">
      <c r="A50" s="54"/>
      <c r="B50" s="275"/>
      <c r="C50" s="275"/>
      <c r="D50" s="44"/>
      <c r="E50" s="44"/>
      <c r="F50" s="44"/>
      <c r="G50" s="44"/>
      <c r="H50" s="44"/>
      <c r="I50" s="44"/>
      <c r="J50" s="276"/>
      <c r="K50" s="44"/>
      <c r="L50" s="44"/>
      <c r="M50" s="44"/>
      <c r="N50" s="44"/>
      <c r="O50" s="276"/>
      <c r="P50" s="44"/>
      <c r="Q50" s="44"/>
      <c r="R50" s="44"/>
      <c r="S50" s="44"/>
      <c r="T50" s="44"/>
      <c r="U50" s="44"/>
      <c r="V50" s="44"/>
      <c r="W50" s="44"/>
      <c r="X50" s="44"/>
      <c r="Y50" s="276"/>
      <c r="Z50" s="276"/>
      <c r="AA50" s="276"/>
      <c r="AB50" s="54"/>
      <c r="AC50" s="55"/>
      <c r="AD50" s="55"/>
      <c r="AE50" s="55"/>
      <c r="AF50" s="55"/>
      <c r="AG50" s="55"/>
      <c r="AH50" s="55"/>
      <c r="AI50" s="55"/>
      <c r="AJ50" s="55"/>
      <c r="AK50" s="55"/>
      <c r="AL50" s="55"/>
      <c r="AM50" s="55"/>
      <c r="AN50" s="55"/>
      <c r="AO50" s="56"/>
      <c r="AP50" s="56"/>
      <c r="AQ50" s="56"/>
      <c r="AR50" s="56"/>
      <c r="AS50" s="56"/>
      <c r="AT50" s="56"/>
      <c r="AU50" s="56"/>
      <c r="AV50" s="276"/>
      <c r="AW50" s="56"/>
      <c r="AX50" s="56"/>
      <c r="AZ50" s="58"/>
      <c r="BA50" s="58"/>
      <c r="BB50" s="56"/>
      <c r="BC50" s="56"/>
      <c r="BD50" s="56"/>
      <c r="BE50" s="56"/>
      <c r="BF50" s="56"/>
      <c r="BG50" s="56"/>
      <c r="BH50" s="56"/>
      <c r="BI50" s="56"/>
      <c r="BJ50" s="56"/>
      <c r="BK50" s="56"/>
      <c r="BL50" s="56"/>
      <c r="BM50" s="56"/>
      <c r="BN50" s="56"/>
      <c r="BO50" s="56"/>
      <c r="BP50" s="56"/>
      <c r="BQ50" s="276"/>
      <c r="BR50" s="56"/>
      <c r="BS50" s="56"/>
      <c r="BU50" s="58"/>
      <c r="BV50" s="58"/>
      <c r="BW50" s="56"/>
      <c r="BX50" s="56"/>
      <c r="BY50" s="56"/>
      <c r="BZ50" s="56"/>
      <c r="CA50" s="56"/>
      <c r="CB50" s="56"/>
      <c r="CC50" s="56"/>
      <c r="CD50" s="56"/>
      <c r="CE50" s="56"/>
      <c r="CF50" s="56"/>
      <c r="CG50" s="56"/>
      <c r="CH50" s="56"/>
      <c r="CI50" s="56"/>
      <c r="CJ50" s="56"/>
      <c r="CK50" s="56"/>
    </row>
    <row r="51" spans="1:179" s="57" customFormat="1" ht="9.75" customHeight="1" x14ac:dyDescent="0.15">
      <c r="A51" s="277"/>
      <c r="B51" s="278"/>
      <c r="C51" s="278"/>
      <c r="D51" s="44"/>
      <c r="E51" s="44"/>
      <c r="F51" s="44"/>
      <c r="G51" s="44"/>
      <c r="H51" s="44"/>
      <c r="I51" s="44"/>
      <c r="J51" s="53"/>
      <c r="K51" s="44"/>
      <c r="L51" s="44"/>
      <c r="M51" s="44"/>
      <c r="N51" s="44"/>
      <c r="O51" s="53"/>
      <c r="P51" s="44"/>
      <c r="Q51" s="44"/>
      <c r="R51" s="44"/>
      <c r="S51" s="44"/>
      <c r="T51" s="44"/>
      <c r="U51" s="44"/>
      <c r="V51" s="44"/>
      <c r="W51" s="44"/>
      <c r="X51" s="44"/>
      <c r="Y51" s="53"/>
      <c r="Z51" s="53"/>
      <c r="AA51" s="53"/>
      <c r="AB51" s="54"/>
      <c r="AC51" s="55"/>
      <c r="AD51" s="55"/>
      <c r="AE51" s="55"/>
      <c r="AF51" s="55"/>
      <c r="AG51" s="55"/>
      <c r="AH51" s="55"/>
      <c r="AI51" s="55"/>
      <c r="AJ51" s="55"/>
      <c r="AK51" s="55"/>
      <c r="AL51" s="55"/>
      <c r="AM51" s="55"/>
      <c r="AN51" s="55"/>
      <c r="AO51" s="56"/>
      <c r="AP51" s="56"/>
      <c r="AQ51" s="56"/>
      <c r="AR51" s="56"/>
      <c r="AS51" s="56"/>
      <c r="AT51" s="56"/>
      <c r="AU51" s="56"/>
      <c r="AV51" s="53"/>
      <c r="AW51" s="56"/>
      <c r="AX51" s="56"/>
      <c r="AZ51" s="58"/>
      <c r="BA51" s="58"/>
      <c r="BB51" s="56"/>
      <c r="BC51" s="56"/>
      <c r="BD51" s="56"/>
      <c r="BE51" s="56"/>
      <c r="BF51" s="56"/>
      <c r="BG51" s="56"/>
      <c r="BH51" s="56"/>
      <c r="BI51" s="56"/>
      <c r="BJ51" s="56"/>
      <c r="BK51" s="56"/>
      <c r="BL51" s="56"/>
      <c r="BM51" s="56"/>
      <c r="BN51" s="56"/>
      <c r="BO51" s="56"/>
      <c r="BP51" s="56"/>
      <c r="BQ51" s="53"/>
      <c r="BR51" s="56"/>
      <c r="BS51" s="56"/>
      <c r="BU51" s="58"/>
      <c r="BV51" s="58"/>
      <c r="BW51" s="56"/>
      <c r="BX51" s="56"/>
      <c r="BY51" s="56"/>
      <c r="BZ51" s="56"/>
      <c r="CA51" s="56"/>
      <c r="CB51" s="56"/>
      <c r="CC51" s="56"/>
      <c r="CD51" s="56"/>
      <c r="CE51" s="56"/>
      <c r="CF51" s="56"/>
      <c r="CG51" s="56"/>
      <c r="CH51" s="56"/>
      <c r="CI51" s="56"/>
      <c r="CJ51" s="56"/>
      <c r="CK51" s="56"/>
    </row>
    <row r="52" spans="1:179" s="57" customFormat="1" ht="9.75" customHeight="1" x14ac:dyDescent="0.15">
      <c r="A52" s="279"/>
      <c r="B52" s="278"/>
      <c r="C52" s="278"/>
      <c r="D52" s="44"/>
      <c r="E52" s="44"/>
      <c r="F52" s="44"/>
      <c r="G52" s="44"/>
      <c r="H52" s="44"/>
      <c r="I52" s="44"/>
      <c r="J52" s="53"/>
      <c r="K52" s="44"/>
      <c r="L52" s="44"/>
      <c r="M52" s="44"/>
      <c r="N52" s="44"/>
      <c r="O52" s="53"/>
      <c r="P52" s="44"/>
      <c r="Q52" s="44"/>
      <c r="R52" s="44"/>
      <c r="S52" s="44"/>
      <c r="T52" s="44"/>
      <c r="U52" s="44"/>
      <c r="V52" s="44"/>
      <c r="W52" s="44"/>
      <c r="X52" s="44"/>
      <c r="Y52" s="53"/>
      <c r="Z52" s="53"/>
      <c r="AA52" s="53"/>
      <c r="AB52" s="54"/>
      <c r="AC52" s="55"/>
      <c r="AD52" s="55"/>
      <c r="AE52" s="55"/>
      <c r="AF52" s="55"/>
      <c r="AG52" s="55"/>
      <c r="AH52" s="55"/>
      <c r="AI52" s="55"/>
      <c r="AJ52" s="55"/>
      <c r="AK52" s="55"/>
      <c r="AL52" s="55"/>
      <c r="AM52" s="55"/>
      <c r="AN52" s="55"/>
      <c r="AO52" s="56"/>
      <c r="AP52" s="56"/>
      <c r="AQ52" s="56"/>
      <c r="AR52" s="56"/>
      <c r="AS52" s="56"/>
      <c r="AT52" s="56"/>
      <c r="AU52" s="56"/>
      <c r="AV52" s="53"/>
      <c r="AW52" s="56"/>
      <c r="AX52" s="56"/>
      <c r="AZ52" s="58"/>
      <c r="BA52" s="58"/>
      <c r="BB52" s="56"/>
      <c r="BC52" s="56"/>
      <c r="BD52" s="56"/>
      <c r="BE52" s="56"/>
      <c r="BF52" s="56"/>
      <c r="BG52" s="56"/>
      <c r="BH52" s="56"/>
      <c r="BI52" s="56"/>
      <c r="BJ52" s="56"/>
      <c r="BK52" s="56"/>
      <c r="BL52" s="56"/>
      <c r="BM52" s="56"/>
      <c r="BN52" s="56"/>
      <c r="BO52" s="56"/>
      <c r="BP52" s="56"/>
      <c r="BQ52" s="53"/>
      <c r="BR52" s="56"/>
      <c r="BS52" s="56"/>
      <c r="BU52" s="58"/>
      <c r="BV52" s="58"/>
      <c r="BW52" s="56"/>
      <c r="BX52" s="56"/>
      <c r="BY52" s="56"/>
      <c r="BZ52" s="56"/>
      <c r="CA52" s="56"/>
      <c r="CB52" s="56"/>
      <c r="CC52" s="56"/>
      <c r="CD52" s="56"/>
      <c r="CE52" s="56"/>
      <c r="CF52" s="56"/>
      <c r="CG52" s="56"/>
      <c r="CH52" s="56"/>
      <c r="CI52" s="56"/>
      <c r="CJ52" s="56"/>
      <c r="CK52" s="56"/>
    </row>
    <row r="53" spans="1:179" s="57" customFormat="1" ht="9.75" customHeight="1" x14ac:dyDescent="0.15">
      <c r="A53" s="70"/>
      <c r="B53" s="278"/>
      <c r="C53" s="278"/>
      <c r="D53" s="44"/>
      <c r="E53" s="44"/>
      <c r="F53" s="44"/>
      <c r="G53" s="44"/>
      <c r="H53" s="44"/>
      <c r="I53" s="44"/>
      <c r="J53" s="53"/>
      <c r="K53" s="44"/>
      <c r="L53" s="44"/>
      <c r="M53" s="44"/>
      <c r="N53" s="44"/>
      <c r="O53" s="53"/>
      <c r="P53" s="44"/>
      <c r="Q53" s="44"/>
      <c r="R53" s="44"/>
      <c r="S53" s="44"/>
      <c r="T53" s="44"/>
      <c r="U53" s="44"/>
      <c r="V53" s="44"/>
      <c r="W53" s="44"/>
      <c r="X53" s="44"/>
      <c r="Y53" s="53"/>
      <c r="Z53" s="53"/>
      <c r="AA53" s="53"/>
      <c r="AB53" s="54"/>
      <c r="AC53" s="55"/>
      <c r="AD53" s="55"/>
      <c r="AE53" s="55"/>
      <c r="AF53" s="55"/>
      <c r="AG53" s="55"/>
      <c r="AH53" s="55"/>
      <c r="AI53" s="55"/>
      <c r="AJ53" s="55"/>
      <c r="AK53" s="55"/>
      <c r="AL53" s="55"/>
      <c r="AM53" s="55"/>
      <c r="AN53" s="55"/>
      <c r="AO53" s="56"/>
      <c r="AP53" s="56"/>
      <c r="AQ53" s="56"/>
      <c r="AR53" s="56"/>
      <c r="AS53" s="56"/>
      <c r="AT53" s="56"/>
      <c r="AU53" s="56"/>
      <c r="AV53" s="53"/>
      <c r="AW53" s="56"/>
      <c r="AX53" s="56"/>
      <c r="AZ53" s="58"/>
      <c r="BA53" s="58"/>
      <c r="BB53" s="56"/>
      <c r="BC53" s="56"/>
      <c r="BD53" s="56"/>
      <c r="BE53" s="56"/>
      <c r="BF53" s="56"/>
      <c r="BG53" s="56"/>
      <c r="BH53" s="56"/>
      <c r="BI53" s="56"/>
      <c r="BJ53" s="56"/>
      <c r="BK53" s="56"/>
      <c r="BL53" s="56"/>
      <c r="BM53" s="56"/>
      <c r="BN53" s="56"/>
      <c r="BO53" s="56"/>
      <c r="BP53" s="56"/>
      <c r="BQ53" s="53"/>
      <c r="BR53" s="56"/>
      <c r="BS53" s="56"/>
      <c r="BU53" s="58"/>
      <c r="BV53" s="58"/>
      <c r="BW53" s="56"/>
      <c r="BX53" s="56"/>
      <c r="BY53" s="56"/>
      <c r="BZ53" s="56"/>
      <c r="CA53" s="56"/>
      <c r="CB53" s="56"/>
      <c r="CC53" s="56"/>
      <c r="CD53" s="56"/>
      <c r="CE53" s="56"/>
      <c r="CF53" s="56"/>
      <c r="CG53" s="56"/>
      <c r="CH53" s="56"/>
      <c r="CI53" s="56"/>
      <c r="CJ53" s="56"/>
      <c r="CK53" s="56"/>
    </row>
    <row r="54" spans="1:179" s="57" customFormat="1" ht="9.75" customHeight="1" x14ac:dyDescent="0.15">
      <c r="A54" s="277"/>
      <c r="B54" s="280"/>
      <c r="C54" s="280"/>
      <c r="D54" s="44"/>
      <c r="E54" s="44"/>
      <c r="F54" s="44"/>
      <c r="G54" s="44"/>
      <c r="H54" s="44"/>
      <c r="I54" s="44"/>
      <c r="J54" s="53"/>
      <c r="K54" s="44"/>
      <c r="L54" s="44"/>
      <c r="M54" s="44"/>
      <c r="N54" s="44"/>
      <c r="O54" s="53"/>
      <c r="P54" s="44"/>
      <c r="Q54" s="44"/>
      <c r="R54" s="44"/>
      <c r="S54" s="44"/>
      <c r="T54" s="44"/>
      <c r="U54" s="44"/>
      <c r="V54" s="44"/>
      <c r="W54" s="44"/>
      <c r="X54" s="44"/>
      <c r="Y54" s="53"/>
      <c r="Z54" s="53"/>
      <c r="AA54" s="53"/>
      <c r="AB54" s="54"/>
      <c r="AC54" s="55"/>
      <c r="AD54" s="55"/>
      <c r="AE54" s="55"/>
      <c r="AF54" s="55"/>
      <c r="AG54" s="55"/>
      <c r="AH54" s="55"/>
      <c r="AI54" s="55"/>
      <c r="AJ54" s="55"/>
      <c r="AK54" s="55"/>
      <c r="AL54" s="55"/>
      <c r="AM54" s="55"/>
      <c r="AN54" s="55"/>
      <c r="AO54" s="56"/>
      <c r="AP54" s="56"/>
      <c r="AQ54" s="56"/>
      <c r="AR54" s="56"/>
      <c r="AS54" s="56"/>
      <c r="AT54" s="56"/>
      <c r="AU54" s="56"/>
      <c r="AV54" s="53"/>
      <c r="AW54" s="56"/>
      <c r="AX54" s="56"/>
      <c r="AZ54" s="58"/>
      <c r="BA54" s="58"/>
      <c r="BB54" s="56"/>
      <c r="BC54" s="56"/>
      <c r="BD54" s="56"/>
      <c r="BE54" s="56"/>
      <c r="BF54" s="56"/>
      <c r="BG54" s="56"/>
      <c r="BH54" s="56"/>
      <c r="BI54" s="56"/>
      <c r="BJ54" s="56"/>
      <c r="BK54" s="56"/>
      <c r="BL54" s="56"/>
      <c r="BM54" s="56"/>
      <c r="BN54" s="56"/>
      <c r="BO54" s="56"/>
      <c r="BP54" s="56"/>
      <c r="BQ54" s="53"/>
      <c r="BR54" s="56"/>
      <c r="BS54" s="56"/>
      <c r="BU54" s="58"/>
      <c r="BV54" s="58"/>
      <c r="BW54" s="56"/>
      <c r="BX54" s="56"/>
      <c r="BY54" s="56"/>
      <c r="BZ54" s="56"/>
      <c r="CA54" s="56"/>
      <c r="CB54" s="56"/>
      <c r="CC54" s="56"/>
      <c r="CD54" s="56"/>
      <c r="CE54" s="56"/>
      <c r="CF54" s="56"/>
      <c r="CG54" s="56"/>
      <c r="CH54" s="56"/>
      <c r="CI54" s="56"/>
      <c r="CJ54" s="56"/>
      <c r="CK54" s="56"/>
    </row>
    <row r="55" spans="1:179" s="57" customFormat="1" ht="11.25" customHeight="1" x14ac:dyDescent="0.15">
      <c r="A55" s="54"/>
      <c r="B55" s="54"/>
      <c r="C55" s="54"/>
      <c r="D55" s="44"/>
      <c r="E55" s="44"/>
      <c r="F55" s="44"/>
      <c r="G55" s="44"/>
      <c r="H55" s="44"/>
      <c r="I55" s="44"/>
      <c r="J55" s="64" t="s">
        <v>40</v>
      </c>
      <c r="K55" s="44"/>
      <c r="L55" s="44"/>
      <c r="M55" s="44"/>
      <c r="N55" s="44"/>
      <c r="O55" s="65"/>
      <c r="P55" s="44"/>
      <c r="Q55" s="44"/>
      <c r="R55" s="44"/>
      <c r="S55" s="44"/>
      <c r="T55" s="44"/>
      <c r="U55" s="44"/>
      <c r="V55" s="44"/>
      <c r="W55" s="44"/>
      <c r="X55" s="44"/>
      <c r="Y55" s="65"/>
      <c r="Z55" s="65"/>
      <c r="AA55" s="65"/>
      <c r="AB55" s="55"/>
      <c r="AC55" s="55"/>
      <c r="AD55" s="55"/>
      <c r="AE55" s="55"/>
      <c r="AF55" s="55"/>
      <c r="AG55" s="55"/>
      <c r="AH55" s="55"/>
      <c r="AI55" s="55"/>
      <c r="AJ55" s="55"/>
      <c r="AK55" s="55"/>
      <c r="AL55" s="55"/>
      <c r="AM55" s="55"/>
      <c r="AN55" s="55"/>
      <c r="AV55" s="65"/>
      <c r="AZ55" s="66"/>
      <c r="BA55" s="66"/>
      <c r="BQ55" s="65"/>
      <c r="BU55" s="66"/>
      <c r="BV55" s="66"/>
    </row>
    <row r="56" spans="1:179" s="57" customFormat="1" ht="11.25" customHeight="1" x14ac:dyDescent="0.15">
      <c r="A56" s="54"/>
      <c r="B56" s="54"/>
      <c r="C56" s="54"/>
      <c r="D56" s="44"/>
      <c r="E56" s="44"/>
      <c r="F56" s="44"/>
      <c r="G56" s="44"/>
      <c r="H56" s="44"/>
      <c r="I56" s="44"/>
      <c r="J56" s="64" t="s">
        <v>40</v>
      </c>
      <c r="K56" s="44"/>
      <c r="L56" s="44"/>
      <c r="M56" s="44"/>
      <c r="N56" s="44"/>
      <c r="O56" s="65"/>
      <c r="P56" s="44"/>
      <c r="Q56" s="44"/>
      <c r="R56" s="44"/>
      <c r="S56" s="44"/>
      <c r="T56" s="44"/>
      <c r="U56" s="44"/>
      <c r="V56" s="44"/>
      <c r="W56" s="44"/>
      <c r="X56" s="44"/>
      <c r="Y56" s="65"/>
      <c r="Z56" s="65"/>
      <c r="AA56" s="65"/>
      <c r="AB56" s="69"/>
      <c r="AC56" s="55"/>
      <c r="AD56" s="55"/>
      <c r="AE56" s="70"/>
      <c r="AF56" s="70"/>
      <c r="AG56" s="54"/>
      <c r="AH56" s="54"/>
      <c r="AI56" s="54"/>
      <c r="AJ56" s="54"/>
      <c r="AK56" s="54"/>
      <c r="AL56" s="54"/>
      <c r="AM56" s="54"/>
      <c r="AN56" s="54"/>
      <c r="AO56" s="56"/>
      <c r="AP56" s="56"/>
      <c r="AQ56" s="56"/>
      <c r="AR56" s="56"/>
      <c r="AS56" s="56"/>
      <c r="AT56" s="56"/>
      <c r="AU56" s="56"/>
      <c r="AV56" s="65"/>
      <c r="AW56" s="56"/>
      <c r="AX56" s="56"/>
      <c r="AZ56" s="58"/>
      <c r="BA56" s="58"/>
      <c r="BB56" s="56"/>
      <c r="BC56" s="56"/>
      <c r="BD56" s="56"/>
      <c r="BE56" s="56"/>
      <c r="BF56" s="56"/>
      <c r="BG56" s="56"/>
      <c r="BH56" s="56"/>
      <c r="BI56" s="56"/>
      <c r="BJ56" s="56"/>
      <c r="BK56" s="56"/>
      <c r="BL56" s="56"/>
      <c r="BM56" s="56"/>
      <c r="BN56" s="56"/>
      <c r="BO56" s="56"/>
      <c r="BP56" s="56"/>
      <c r="BQ56" s="65"/>
      <c r="BR56" s="56"/>
      <c r="BS56" s="56"/>
      <c r="BU56" s="58"/>
      <c r="BV56" s="58"/>
      <c r="BW56" s="56"/>
      <c r="BX56" s="56"/>
      <c r="BY56" s="56"/>
      <c r="BZ56" s="56"/>
      <c r="CA56" s="56"/>
      <c r="CB56" s="56"/>
      <c r="CC56" s="56"/>
      <c r="CD56" s="56"/>
      <c r="CE56" s="56"/>
      <c r="CF56" s="56"/>
      <c r="CG56" s="56"/>
      <c r="CH56" s="56"/>
      <c r="CI56" s="56"/>
      <c r="CJ56" s="56"/>
      <c r="CK56" s="56"/>
    </row>
    <row r="57" spans="1:179" s="57" customFormat="1" ht="11.25" customHeight="1" x14ac:dyDescent="0.2">
      <c r="A57" s="54"/>
      <c r="B57" s="54"/>
      <c r="C57" s="54"/>
      <c r="D57" s="87"/>
      <c r="E57" s="87"/>
      <c r="F57" s="39"/>
      <c r="G57" s="88"/>
      <c r="H57" s="39"/>
      <c r="I57" s="87"/>
      <c r="J57" s="64" t="s">
        <v>40</v>
      </c>
      <c r="K57" s="87"/>
      <c r="L57" s="39"/>
      <c r="M57" s="87"/>
      <c r="N57" s="39"/>
      <c r="O57" s="72"/>
      <c r="P57" s="39"/>
      <c r="Q57" s="41"/>
      <c r="R57" s="41"/>
      <c r="S57" s="41"/>
      <c r="T57" s="41"/>
      <c r="U57" s="41"/>
      <c r="V57" s="41"/>
      <c r="W57" s="41"/>
      <c r="X57" s="41"/>
      <c r="Y57" s="72"/>
      <c r="Z57" s="72"/>
      <c r="AA57" s="72"/>
      <c r="AB57" s="55"/>
      <c r="AC57" s="55"/>
      <c r="AD57" s="55"/>
      <c r="AE57" s="73"/>
      <c r="AF57" s="73"/>
      <c r="AG57" s="55"/>
      <c r="AH57" s="55"/>
      <c r="AI57" s="55"/>
      <c r="AJ57" s="55"/>
      <c r="AK57" s="55"/>
      <c r="AL57" s="55"/>
      <c r="AM57" s="55"/>
      <c r="AN57" s="55"/>
      <c r="AV57" s="72"/>
      <c r="AZ57" s="74"/>
      <c r="BA57" s="74"/>
      <c r="BQ57" s="72"/>
      <c r="BU57" s="74"/>
      <c r="BV57" s="74"/>
    </row>
    <row r="58" spans="1:179" s="57" customFormat="1" ht="11.25" customHeight="1" x14ac:dyDescent="0.15">
      <c r="A58" s="54"/>
      <c r="B58" s="54"/>
      <c r="C58" s="54"/>
      <c r="D58" s="44"/>
      <c r="E58" s="44"/>
      <c r="F58" s="44"/>
      <c r="G58" s="44"/>
      <c r="H58" s="44"/>
      <c r="I58" s="44"/>
      <c r="J58" s="64"/>
      <c r="K58" s="44"/>
      <c r="L58" s="44"/>
      <c r="M58" s="44"/>
      <c r="N58" s="44"/>
      <c r="O58" s="72"/>
      <c r="P58" s="44"/>
      <c r="Q58" s="44"/>
      <c r="R58" s="44"/>
      <c r="S58" s="44"/>
      <c r="T58" s="44"/>
      <c r="U58" s="44"/>
      <c r="V58" s="44"/>
      <c r="W58" s="44"/>
      <c r="X58" s="44"/>
      <c r="Y58" s="72"/>
      <c r="Z58" s="72"/>
      <c r="AA58" s="72"/>
      <c r="AB58" s="55"/>
      <c r="AC58" s="55"/>
      <c r="AD58" s="55"/>
      <c r="AE58" s="73"/>
      <c r="AF58" s="73"/>
      <c r="AG58" s="55"/>
      <c r="AH58" s="55"/>
      <c r="AI58" s="55"/>
      <c r="AJ58" s="55"/>
      <c r="AK58" s="55"/>
      <c r="AL58" s="55"/>
      <c r="AM58" s="55"/>
      <c r="AN58" s="55"/>
      <c r="AV58" s="72"/>
      <c r="AZ58" s="74"/>
      <c r="BA58" s="74"/>
      <c r="BQ58" s="72"/>
      <c r="BU58" s="74"/>
      <c r="BV58" s="74"/>
    </row>
    <row r="59" spans="1:179" s="57" customFormat="1" ht="11.25" customHeight="1" x14ac:dyDescent="0.15">
      <c r="A59" s="86"/>
      <c r="B59" s="54"/>
      <c r="C59" s="54"/>
      <c r="D59" s="44"/>
      <c r="E59" s="44"/>
      <c r="F59" s="44"/>
      <c r="G59" s="44"/>
      <c r="H59" s="44"/>
      <c r="I59" s="44"/>
      <c r="J59" s="64"/>
      <c r="K59" s="44"/>
      <c r="L59" s="44"/>
      <c r="M59" s="44"/>
      <c r="N59" s="44"/>
      <c r="O59" s="65"/>
      <c r="P59" s="44"/>
      <c r="Q59" s="44"/>
      <c r="R59" s="44"/>
      <c r="S59" s="44"/>
      <c r="T59" s="44"/>
      <c r="U59" s="44"/>
      <c r="V59" s="44"/>
      <c r="W59" s="44"/>
      <c r="X59" s="44"/>
      <c r="Y59" s="65"/>
      <c r="Z59" s="65"/>
      <c r="AA59" s="65"/>
      <c r="AB59" s="55"/>
      <c r="AC59" s="55"/>
      <c r="AD59" s="55"/>
      <c r="AE59" s="55"/>
      <c r="AF59" s="55"/>
      <c r="AG59" s="55"/>
      <c r="AH59" s="55"/>
      <c r="AI59" s="55"/>
      <c r="AJ59" s="55"/>
      <c r="AK59" s="55"/>
      <c r="AL59" s="55"/>
      <c r="AM59" s="55"/>
      <c r="AN59" s="55"/>
      <c r="AV59" s="65"/>
      <c r="AZ59" s="66"/>
      <c r="BA59" s="66"/>
      <c r="BQ59" s="65"/>
      <c r="BU59" s="66"/>
      <c r="BV59" s="66"/>
    </row>
    <row r="60" spans="1:179" s="57" customFormat="1" ht="11.25" customHeight="1" x14ac:dyDescent="0.15">
      <c r="A60" s="54"/>
      <c r="B60" s="281"/>
      <c r="C60" s="54"/>
      <c r="D60" s="44"/>
      <c r="E60" s="44"/>
      <c r="F60" s="44"/>
      <c r="G60" s="44"/>
      <c r="H60" s="44"/>
      <c r="I60" s="44"/>
      <c r="J60" s="64"/>
      <c r="K60" s="44"/>
      <c r="L60" s="44"/>
      <c r="M60" s="44"/>
      <c r="N60" s="44"/>
      <c r="O60" s="65"/>
      <c r="P60" s="44"/>
      <c r="Q60" s="44"/>
      <c r="R60" s="44"/>
      <c r="S60" s="44"/>
      <c r="T60" s="44"/>
      <c r="U60" s="44"/>
      <c r="V60" s="44"/>
      <c r="W60" s="44"/>
      <c r="X60" s="44"/>
      <c r="Y60" s="65"/>
      <c r="Z60" s="65"/>
      <c r="AA60" s="65"/>
      <c r="AB60" s="55"/>
      <c r="AC60" s="55"/>
      <c r="AD60" s="55"/>
      <c r="AE60" s="55"/>
      <c r="AF60" s="55"/>
      <c r="AG60" s="55"/>
      <c r="AH60" s="55"/>
      <c r="AI60" s="55"/>
      <c r="AJ60" s="55"/>
      <c r="AK60" s="55"/>
      <c r="AL60" s="55"/>
      <c r="AM60" s="55"/>
      <c r="AN60" s="55"/>
      <c r="AV60" s="65"/>
      <c r="AZ60" s="66"/>
      <c r="BA60" s="66"/>
      <c r="BQ60" s="65"/>
      <c r="BU60" s="66"/>
      <c r="BV60" s="66"/>
    </row>
    <row r="61" spans="1:179" s="57" customFormat="1" ht="11.25" customHeight="1" x14ac:dyDescent="0.15">
      <c r="A61" s="54"/>
      <c r="B61" s="281"/>
      <c r="C61" s="54"/>
      <c r="D61" s="44"/>
      <c r="E61" s="44"/>
      <c r="F61" s="44"/>
      <c r="G61" s="44"/>
      <c r="H61" s="44"/>
      <c r="I61" s="44"/>
      <c r="J61" s="64"/>
      <c r="K61" s="44"/>
      <c r="L61" s="44"/>
      <c r="M61" s="44"/>
      <c r="N61" s="44"/>
      <c r="O61" s="65"/>
      <c r="P61" s="44"/>
      <c r="Q61" s="44"/>
      <c r="R61" s="44"/>
      <c r="S61" s="44"/>
      <c r="T61" s="44"/>
      <c r="U61" s="44"/>
      <c r="V61" s="44"/>
      <c r="W61" s="44"/>
      <c r="X61" s="44"/>
      <c r="Y61" s="65"/>
      <c r="Z61" s="65"/>
      <c r="AA61" s="65"/>
      <c r="AB61" s="55"/>
      <c r="AC61" s="55"/>
      <c r="AD61" s="55"/>
      <c r="AE61" s="55"/>
      <c r="AF61" s="55"/>
      <c r="AG61" s="55"/>
      <c r="AH61" s="55"/>
      <c r="AI61" s="55"/>
      <c r="AJ61" s="55"/>
      <c r="AK61" s="55"/>
      <c r="AL61" s="55"/>
      <c r="AM61" s="55"/>
      <c r="AN61" s="55"/>
      <c r="AV61" s="65"/>
      <c r="AZ61" s="66"/>
      <c r="BA61" s="66"/>
      <c r="BQ61" s="65"/>
      <c r="BU61" s="66"/>
      <c r="BV61" s="66"/>
    </row>
    <row r="62" spans="1:179" s="57" customFormat="1" ht="11.25" customHeight="1" x14ac:dyDescent="0.15">
      <c r="A62" s="54"/>
      <c r="B62" s="54"/>
      <c r="C62" s="54"/>
      <c r="D62" s="44"/>
      <c r="E62" s="44"/>
      <c r="F62" s="44"/>
      <c r="G62" s="44"/>
      <c r="H62" s="44"/>
      <c r="I62" s="44"/>
      <c r="J62" s="64" t="s">
        <v>40</v>
      </c>
      <c r="K62" s="44"/>
      <c r="L62" s="44"/>
      <c r="M62" s="44"/>
      <c r="N62" s="44"/>
      <c r="O62" s="65"/>
      <c r="P62" s="44"/>
      <c r="Q62" s="44"/>
      <c r="R62" s="44"/>
      <c r="S62" s="44"/>
      <c r="T62" s="44"/>
      <c r="U62" s="44"/>
      <c r="V62" s="44"/>
      <c r="W62" s="44"/>
      <c r="X62" s="44"/>
      <c r="Y62" s="65"/>
      <c r="Z62" s="65"/>
      <c r="AA62" s="65"/>
      <c r="AB62" s="55"/>
      <c r="AC62" s="55"/>
      <c r="AD62" s="73"/>
      <c r="AE62" s="55"/>
      <c r="AF62" s="55"/>
      <c r="AG62" s="55"/>
      <c r="AH62" s="55"/>
      <c r="AI62" s="55"/>
      <c r="AJ62" s="55"/>
      <c r="AK62" s="55"/>
      <c r="AL62" s="55"/>
      <c r="AM62" s="55"/>
      <c r="AN62" s="55"/>
      <c r="AV62" s="65"/>
      <c r="AY62" s="74"/>
      <c r="BQ62" s="65"/>
      <c r="BT62" s="74"/>
    </row>
    <row r="63" spans="1:179" s="57" customFormat="1" ht="11.25" customHeight="1" x14ac:dyDescent="0.15">
      <c r="A63" s="54"/>
      <c r="B63" s="54"/>
      <c r="C63" s="54"/>
      <c r="D63" s="44"/>
      <c r="E63" s="44"/>
      <c r="F63" s="44"/>
      <c r="G63" s="44"/>
      <c r="H63" s="44"/>
      <c r="I63" s="44"/>
      <c r="J63" s="78" t="s">
        <v>40</v>
      </c>
      <c r="K63" s="44"/>
      <c r="L63" s="44"/>
      <c r="M63" s="44"/>
      <c r="N63" s="44"/>
      <c r="O63" s="53"/>
      <c r="P63" s="44"/>
      <c r="Q63" s="44"/>
      <c r="R63" s="44"/>
      <c r="S63" s="44"/>
      <c r="T63" s="44"/>
      <c r="U63" s="44"/>
      <c r="V63" s="44"/>
      <c r="W63" s="44"/>
      <c r="X63" s="44"/>
      <c r="Y63" s="53"/>
      <c r="Z63" s="53"/>
      <c r="AA63" s="53"/>
      <c r="AB63" s="54"/>
      <c r="AC63" s="55"/>
      <c r="AD63" s="55"/>
      <c r="AE63" s="55"/>
      <c r="AF63" s="79"/>
      <c r="AG63" s="55"/>
      <c r="AH63" s="55"/>
      <c r="AI63" s="55"/>
      <c r="AJ63" s="55"/>
      <c r="AK63" s="55"/>
      <c r="AL63" s="55"/>
      <c r="AM63" s="55"/>
      <c r="AN63" s="55"/>
      <c r="AO63" s="56"/>
      <c r="AP63" s="56"/>
      <c r="AQ63" s="56"/>
      <c r="AR63" s="56"/>
      <c r="AS63" s="56"/>
      <c r="AT63" s="56"/>
      <c r="AU63" s="56"/>
      <c r="AV63" s="53"/>
      <c r="AW63" s="56"/>
      <c r="AX63" s="56"/>
      <c r="AZ63" s="58"/>
      <c r="BA63" s="58"/>
      <c r="BB63" s="56"/>
      <c r="BC63" s="56"/>
      <c r="BD63" s="56"/>
      <c r="BE63" s="56"/>
      <c r="BF63" s="56"/>
      <c r="BG63" s="56"/>
      <c r="BH63" s="56"/>
      <c r="BI63" s="56"/>
      <c r="BJ63" s="56"/>
      <c r="BK63" s="56"/>
      <c r="BL63" s="56"/>
      <c r="BM63" s="56"/>
      <c r="BN63" s="56"/>
      <c r="BO63" s="56"/>
      <c r="BP63" s="56"/>
      <c r="BQ63" s="53"/>
      <c r="BR63" s="56"/>
      <c r="BS63" s="56"/>
      <c r="BU63" s="58"/>
      <c r="BV63" s="58"/>
      <c r="BW63" s="56"/>
      <c r="BX63" s="56"/>
      <c r="BY63" s="56"/>
      <c r="BZ63" s="56"/>
      <c r="CA63" s="56"/>
      <c r="CB63" s="56"/>
      <c r="CC63" s="56"/>
      <c r="CD63" s="56"/>
      <c r="CE63" s="56"/>
      <c r="CF63" s="56"/>
      <c r="CG63" s="56"/>
      <c r="CH63" s="56"/>
      <c r="CI63" s="56"/>
      <c r="CJ63" s="56"/>
      <c r="CK63" s="56"/>
    </row>
    <row r="64" spans="1:179" s="57" customFormat="1" ht="11.25" customHeight="1" x14ac:dyDescent="0.15">
      <c r="A64" s="54"/>
      <c r="B64" s="281"/>
      <c r="C64" s="54"/>
      <c r="D64" s="44"/>
      <c r="E64" s="44"/>
      <c r="F64" s="44"/>
      <c r="G64" s="44"/>
      <c r="H64" s="44"/>
      <c r="I64" s="44"/>
      <c r="J64" s="78"/>
      <c r="K64" s="44"/>
      <c r="L64" s="44"/>
      <c r="M64" s="44"/>
      <c r="N64" s="44"/>
      <c r="O64" s="53"/>
      <c r="P64" s="44"/>
      <c r="Q64" s="44"/>
      <c r="R64" s="44"/>
      <c r="S64" s="44"/>
      <c r="T64" s="44"/>
      <c r="U64" s="44"/>
      <c r="V64" s="44"/>
      <c r="W64" s="44"/>
      <c r="X64" s="44"/>
      <c r="Y64" s="53"/>
      <c r="Z64" s="53"/>
      <c r="AA64" s="53"/>
      <c r="AB64" s="54"/>
      <c r="AC64" s="55"/>
      <c r="AD64" s="55"/>
      <c r="AE64" s="55"/>
      <c r="AF64" s="79"/>
      <c r="AG64" s="55"/>
      <c r="AH64" s="55"/>
      <c r="AI64" s="55"/>
      <c r="AJ64" s="55"/>
      <c r="AK64" s="55"/>
      <c r="AL64" s="55"/>
      <c r="AM64" s="55"/>
      <c r="AN64" s="55"/>
      <c r="AO64" s="56"/>
      <c r="AP64" s="56"/>
      <c r="AQ64" s="56"/>
      <c r="AR64" s="56"/>
      <c r="AS64" s="56"/>
      <c r="AT64" s="56"/>
      <c r="AU64" s="56"/>
      <c r="AV64" s="53"/>
      <c r="AW64" s="56"/>
      <c r="AX64" s="56"/>
      <c r="AZ64" s="58"/>
      <c r="BA64" s="58"/>
      <c r="BB64" s="56"/>
      <c r="BC64" s="56"/>
      <c r="BD64" s="56"/>
      <c r="BE64" s="56"/>
      <c r="BF64" s="56"/>
      <c r="BG64" s="56"/>
      <c r="BH64" s="56"/>
      <c r="BI64" s="56"/>
      <c r="BJ64" s="56"/>
      <c r="BK64" s="56"/>
      <c r="BL64" s="56"/>
      <c r="BM64" s="56"/>
      <c r="BN64" s="56"/>
      <c r="BO64" s="56"/>
      <c r="BP64" s="56"/>
      <c r="BQ64" s="53"/>
      <c r="BR64" s="56"/>
      <c r="BS64" s="56"/>
      <c r="BU64" s="58"/>
      <c r="BV64" s="58"/>
      <c r="BW64" s="56"/>
      <c r="BX64" s="56"/>
      <c r="BY64" s="56"/>
      <c r="BZ64" s="56"/>
      <c r="CA64" s="56"/>
      <c r="CB64" s="56"/>
      <c r="CC64" s="56"/>
      <c r="CD64" s="56"/>
      <c r="CE64" s="56"/>
      <c r="CF64" s="56"/>
      <c r="CG64" s="56"/>
      <c r="CH64" s="56"/>
      <c r="CI64" s="56"/>
      <c r="CJ64" s="56"/>
      <c r="CK64" s="56"/>
    </row>
    <row r="65" spans="1:89" x14ac:dyDescent="0.2">
      <c r="A65" s="54"/>
      <c r="B65" s="54"/>
      <c r="C65" s="54"/>
      <c r="J65" s="80" t="s">
        <v>40</v>
      </c>
      <c r="O65" s="81"/>
      <c r="Y65" s="81"/>
      <c r="Z65" s="81"/>
      <c r="AA65" s="81"/>
      <c r="AB65" s="82"/>
      <c r="AC65" s="83"/>
      <c r="AD65" s="83"/>
      <c r="AE65" s="83"/>
      <c r="AF65" s="83"/>
      <c r="AG65" s="83"/>
      <c r="AH65" s="83"/>
      <c r="AI65" s="83"/>
      <c r="AJ65" s="83"/>
      <c r="AK65" s="83"/>
      <c r="AL65" s="83"/>
      <c r="AM65" s="83"/>
      <c r="AN65" s="83"/>
      <c r="AV65" s="81"/>
      <c r="BQ65" s="81"/>
    </row>
    <row r="66" spans="1:89" s="57" customFormat="1" ht="11.25" customHeight="1" x14ac:dyDescent="0.15">
      <c r="A66" s="54"/>
      <c r="B66" s="54"/>
      <c r="C66" s="54"/>
      <c r="D66" s="44"/>
      <c r="E66" s="44"/>
      <c r="F66" s="44"/>
      <c r="G66" s="44"/>
      <c r="H66" s="44"/>
      <c r="I66" s="44"/>
      <c r="J66" s="64" t="s">
        <v>40</v>
      </c>
      <c r="K66" s="44"/>
      <c r="L66" s="44"/>
      <c r="M66" s="44"/>
      <c r="N66" s="44"/>
      <c r="O66" s="65"/>
      <c r="P66" s="44"/>
      <c r="Q66" s="44"/>
      <c r="R66" s="44"/>
      <c r="S66" s="44"/>
      <c r="T66" s="44"/>
      <c r="U66" s="44"/>
      <c r="V66" s="44"/>
      <c r="W66" s="44"/>
      <c r="X66" s="44"/>
      <c r="Y66" s="65"/>
      <c r="Z66" s="65"/>
      <c r="AA66" s="65"/>
      <c r="AB66" s="55"/>
      <c r="AC66" s="55"/>
      <c r="AD66" s="55"/>
      <c r="AE66" s="55"/>
      <c r="AF66" s="55"/>
      <c r="AG66" s="55"/>
      <c r="AH66" s="55"/>
      <c r="AI66" s="55"/>
      <c r="AJ66" s="55"/>
      <c r="AK66" s="55"/>
      <c r="AL66" s="55"/>
      <c r="AM66" s="55"/>
      <c r="AN66" s="55"/>
      <c r="AV66" s="65"/>
      <c r="AY66" s="74"/>
      <c r="BQ66" s="65"/>
      <c r="BT66" s="74"/>
    </row>
    <row r="67" spans="1:89" s="57" customFormat="1" ht="11.25" customHeight="1" x14ac:dyDescent="0.15">
      <c r="A67" s="54"/>
      <c r="B67" s="54"/>
      <c r="C67" s="54"/>
      <c r="D67" s="44"/>
      <c r="E67" s="44"/>
      <c r="F67" s="44"/>
      <c r="G67" s="44"/>
      <c r="H67" s="44"/>
      <c r="I67" s="44"/>
      <c r="J67" s="64" t="s">
        <v>40</v>
      </c>
      <c r="K67" s="44"/>
      <c r="L67" s="44"/>
      <c r="M67" s="44"/>
      <c r="N67" s="44"/>
      <c r="O67" s="65"/>
      <c r="P67" s="44"/>
      <c r="Q67" s="44"/>
      <c r="R67" s="44"/>
      <c r="S67" s="44"/>
      <c r="T67" s="44"/>
      <c r="U67" s="44"/>
      <c r="V67" s="44"/>
      <c r="W67" s="44"/>
      <c r="X67" s="44"/>
      <c r="Y67" s="65"/>
      <c r="Z67" s="65"/>
      <c r="AA67" s="65"/>
      <c r="AB67" s="55"/>
      <c r="AC67" s="55"/>
      <c r="AD67" s="55"/>
      <c r="AE67" s="55"/>
      <c r="AF67" s="55"/>
      <c r="AG67" s="55"/>
      <c r="AH67" s="55"/>
      <c r="AI67" s="55"/>
      <c r="AJ67" s="55"/>
      <c r="AK67" s="55"/>
      <c r="AL67" s="55"/>
      <c r="AM67" s="55"/>
      <c r="AN67" s="55"/>
      <c r="AV67" s="65"/>
      <c r="BQ67" s="65"/>
    </row>
    <row r="68" spans="1:89" s="57" customFormat="1" ht="11.25" customHeight="1" x14ac:dyDescent="0.15">
      <c r="A68" s="54"/>
      <c r="B68" s="281"/>
      <c r="C68" s="54"/>
      <c r="D68" s="44"/>
      <c r="E68" s="44"/>
      <c r="F68" s="44"/>
      <c r="G68" s="44"/>
      <c r="H68" s="44"/>
      <c r="I68" s="44"/>
      <c r="J68" s="64"/>
      <c r="K68" s="44"/>
      <c r="L68" s="44"/>
      <c r="M68" s="44"/>
      <c r="N68" s="44"/>
      <c r="O68" s="65"/>
      <c r="P68" s="44"/>
      <c r="Q68" s="44"/>
      <c r="R68" s="44"/>
      <c r="S68" s="44"/>
      <c r="T68" s="44"/>
      <c r="U68" s="44"/>
      <c r="V68" s="44"/>
      <c r="W68" s="44"/>
      <c r="X68" s="44"/>
      <c r="Y68" s="65"/>
      <c r="Z68" s="65"/>
      <c r="AA68" s="65"/>
      <c r="AB68" s="55"/>
      <c r="AC68" s="55"/>
      <c r="AD68" s="55"/>
      <c r="AE68" s="55"/>
      <c r="AF68" s="55"/>
      <c r="AG68" s="55"/>
      <c r="AH68" s="55"/>
      <c r="AI68" s="55"/>
      <c r="AJ68" s="55"/>
      <c r="AK68" s="55"/>
      <c r="AL68" s="55"/>
      <c r="AM68" s="55"/>
      <c r="AN68" s="55"/>
      <c r="AV68" s="65"/>
      <c r="BQ68" s="65"/>
    </row>
    <row r="69" spans="1:89" s="57" customFormat="1" ht="11.25" customHeight="1" x14ac:dyDescent="0.15">
      <c r="A69" s="54"/>
      <c r="B69" s="54"/>
      <c r="C69" s="54"/>
      <c r="D69" s="44"/>
      <c r="E69" s="44"/>
      <c r="F69" s="44"/>
      <c r="G69" s="44"/>
      <c r="H69" s="44"/>
      <c r="I69" s="44"/>
      <c r="J69" s="78"/>
      <c r="K69" s="44"/>
      <c r="L69" s="44"/>
      <c r="M69" s="44"/>
      <c r="N69" s="44"/>
      <c r="O69" s="53"/>
      <c r="P69" s="44"/>
      <c r="Q69" s="44"/>
      <c r="R69" s="44"/>
      <c r="S69" s="44"/>
      <c r="T69" s="44"/>
      <c r="U69" s="44"/>
      <c r="V69" s="44"/>
      <c r="W69" s="44"/>
      <c r="X69" s="44"/>
      <c r="Y69" s="53"/>
      <c r="Z69" s="53"/>
      <c r="AA69" s="53"/>
      <c r="AB69" s="54"/>
      <c r="AC69" s="55"/>
      <c r="AD69" s="55"/>
      <c r="AE69" s="55"/>
      <c r="AF69" s="79"/>
      <c r="AG69" s="55"/>
      <c r="AH69" s="55"/>
      <c r="AI69" s="55"/>
      <c r="AJ69" s="55"/>
      <c r="AK69" s="55"/>
      <c r="AL69" s="55"/>
      <c r="AM69" s="55"/>
      <c r="AN69" s="55"/>
      <c r="AO69" s="56"/>
      <c r="AP69" s="56"/>
      <c r="AQ69" s="56"/>
      <c r="AR69" s="56"/>
      <c r="AS69" s="56"/>
      <c r="AT69" s="56"/>
      <c r="AU69" s="56"/>
      <c r="AV69" s="53"/>
      <c r="AW69" s="56"/>
      <c r="AX69" s="56"/>
      <c r="AZ69" s="58"/>
      <c r="BA69" s="58"/>
      <c r="BB69" s="56"/>
      <c r="BC69" s="56"/>
      <c r="BD69" s="56"/>
      <c r="BE69" s="56"/>
      <c r="BF69" s="56"/>
      <c r="BG69" s="56"/>
      <c r="BH69" s="56"/>
      <c r="BI69" s="56"/>
      <c r="BJ69" s="56"/>
      <c r="BK69" s="56"/>
      <c r="BL69" s="56"/>
      <c r="BM69" s="56"/>
      <c r="BN69" s="56"/>
      <c r="BO69" s="56"/>
      <c r="BP69" s="56"/>
      <c r="BQ69" s="53"/>
      <c r="BR69" s="56"/>
      <c r="BS69" s="56"/>
      <c r="BU69" s="58"/>
      <c r="BV69" s="58"/>
      <c r="BW69" s="56"/>
      <c r="BX69" s="56"/>
      <c r="BY69" s="56"/>
      <c r="BZ69" s="56"/>
      <c r="CA69" s="56"/>
      <c r="CB69" s="56"/>
      <c r="CC69" s="56"/>
      <c r="CD69" s="56"/>
      <c r="CE69" s="56"/>
      <c r="CF69" s="56"/>
      <c r="CG69" s="56"/>
      <c r="CH69" s="56"/>
      <c r="CI69" s="56"/>
      <c r="CJ69" s="56"/>
      <c r="CK69" s="56"/>
    </row>
    <row r="70" spans="1:89" s="57" customFormat="1" ht="11.25" customHeight="1" x14ac:dyDescent="0.15">
      <c r="A70" s="86"/>
      <c r="B70" s="54"/>
      <c r="C70" s="54"/>
      <c r="D70" s="44"/>
      <c r="E70" s="44"/>
      <c r="F70" s="44"/>
      <c r="G70" s="44"/>
      <c r="H70" s="44"/>
      <c r="I70" s="44"/>
      <c r="J70" s="78"/>
      <c r="K70" s="44"/>
      <c r="L70" s="44"/>
      <c r="M70" s="44"/>
      <c r="N70" s="44"/>
      <c r="O70" s="53"/>
      <c r="P70" s="44"/>
      <c r="Q70" s="44"/>
      <c r="R70" s="44"/>
      <c r="S70" s="44"/>
      <c r="T70" s="44"/>
      <c r="U70" s="44"/>
      <c r="V70" s="44"/>
      <c r="W70" s="44"/>
      <c r="X70" s="44"/>
      <c r="Y70" s="53"/>
      <c r="Z70" s="53"/>
      <c r="AA70" s="53"/>
      <c r="AB70" s="54"/>
      <c r="AC70" s="55"/>
      <c r="AD70" s="55"/>
      <c r="AE70" s="55"/>
      <c r="AF70" s="79"/>
      <c r="AG70" s="55"/>
      <c r="AH70" s="55"/>
      <c r="AI70" s="55"/>
      <c r="AJ70" s="55"/>
      <c r="AK70" s="55"/>
      <c r="AL70" s="55"/>
      <c r="AM70" s="55"/>
      <c r="AN70" s="55"/>
      <c r="AO70" s="56"/>
      <c r="AP70" s="56"/>
      <c r="AQ70" s="56"/>
      <c r="AR70" s="56"/>
      <c r="AS70" s="56"/>
      <c r="AT70" s="56"/>
      <c r="AU70" s="56"/>
      <c r="AV70" s="53"/>
      <c r="AW70" s="56"/>
      <c r="AX70" s="56"/>
      <c r="AZ70" s="58"/>
      <c r="BA70" s="58"/>
      <c r="BB70" s="56"/>
      <c r="BC70" s="56"/>
      <c r="BD70" s="56"/>
      <c r="BE70" s="56"/>
      <c r="BF70" s="56"/>
      <c r="BG70" s="56"/>
      <c r="BH70" s="56"/>
      <c r="BI70" s="56"/>
      <c r="BJ70" s="56"/>
      <c r="BK70" s="56"/>
      <c r="BL70" s="56"/>
      <c r="BM70" s="56"/>
      <c r="BN70" s="56"/>
      <c r="BO70" s="56"/>
      <c r="BP70" s="56"/>
      <c r="BQ70" s="53"/>
      <c r="BR70" s="56"/>
      <c r="BS70" s="56"/>
      <c r="BU70" s="58"/>
      <c r="BV70" s="58"/>
      <c r="BW70" s="56"/>
      <c r="BX70" s="56"/>
      <c r="BY70" s="56"/>
      <c r="BZ70" s="56"/>
      <c r="CA70" s="56"/>
      <c r="CB70" s="56"/>
      <c r="CC70" s="56"/>
      <c r="CD70" s="56"/>
      <c r="CE70" s="56"/>
      <c r="CF70" s="56"/>
      <c r="CG70" s="56"/>
      <c r="CH70" s="56"/>
      <c r="CI70" s="56"/>
      <c r="CJ70" s="56"/>
      <c r="CK70" s="56"/>
    </row>
    <row r="71" spans="1:89" s="57" customFormat="1" ht="11.25" customHeight="1" x14ac:dyDescent="0.15">
      <c r="A71" s="282"/>
      <c r="B71" s="54"/>
      <c r="C71" s="54"/>
      <c r="D71" s="44"/>
      <c r="E71" s="44"/>
      <c r="F71" s="44"/>
      <c r="G71" s="44"/>
      <c r="H71" s="44"/>
      <c r="I71" s="44"/>
      <c r="J71" s="64" t="s">
        <v>40</v>
      </c>
      <c r="K71" s="44"/>
      <c r="L71" s="44"/>
      <c r="M71" s="44"/>
      <c r="N71" s="44"/>
      <c r="O71" s="65"/>
      <c r="P71" s="44"/>
      <c r="Q71" s="44"/>
      <c r="R71" s="44"/>
      <c r="S71" s="44"/>
      <c r="T71" s="44"/>
      <c r="U71" s="44"/>
      <c r="V71" s="44"/>
      <c r="W71" s="44"/>
      <c r="X71" s="44"/>
      <c r="Y71" s="65"/>
      <c r="Z71" s="65"/>
      <c r="AA71" s="65"/>
      <c r="AB71" s="55"/>
      <c r="AC71" s="55"/>
      <c r="AD71" s="73"/>
      <c r="AE71" s="55"/>
      <c r="AF71" s="55"/>
      <c r="AG71" s="55"/>
      <c r="AH71" s="55"/>
      <c r="AI71" s="55"/>
      <c r="AJ71" s="55"/>
      <c r="AK71" s="55"/>
      <c r="AL71" s="55"/>
      <c r="AM71" s="55"/>
      <c r="AN71" s="55"/>
      <c r="AV71" s="65"/>
      <c r="BQ71" s="65"/>
    </row>
    <row r="72" spans="1:89" x14ac:dyDescent="0.2">
      <c r="A72" s="283"/>
      <c r="B72" s="56"/>
      <c r="C72" s="56"/>
      <c r="J72" s="80" t="s">
        <v>40</v>
      </c>
      <c r="O72" s="81"/>
      <c r="Y72" s="81"/>
      <c r="Z72" s="81"/>
      <c r="AA72" s="81"/>
      <c r="AV72" s="81"/>
      <c r="BQ72" s="81"/>
    </row>
    <row r="73" spans="1:89" x14ac:dyDescent="0.2">
      <c r="A73" s="54"/>
      <c r="B73" s="54"/>
      <c r="C73" s="280"/>
      <c r="J73" s="80" t="s">
        <v>40</v>
      </c>
      <c r="O73" s="81"/>
      <c r="Y73" s="81"/>
      <c r="Z73" s="81"/>
      <c r="AA73" s="81"/>
      <c r="AB73" s="83"/>
      <c r="AC73" s="83"/>
      <c r="AD73" s="83"/>
      <c r="AE73" s="83"/>
      <c r="AF73" s="83"/>
      <c r="AG73" s="83"/>
      <c r="AH73" s="83"/>
      <c r="AI73" s="83"/>
      <c r="AJ73" s="83"/>
      <c r="AK73" s="83"/>
      <c r="AL73" s="83"/>
      <c r="AM73" s="83"/>
      <c r="AN73" s="83"/>
      <c r="AV73" s="81"/>
      <c r="BQ73" s="81"/>
    </row>
    <row r="74" spans="1:89" x14ac:dyDescent="0.2">
      <c r="A74" s="54"/>
      <c r="B74" s="56"/>
      <c r="C74" s="54"/>
      <c r="J74" s="80" t="s">
        <v>40</v>
      </c>
      <c r="O74" s="81"/>
      <c r="Y74" s="81"/>
      <c r="Z74" s="81"/>
      <c r="AA74" s="81"/>
      <c r="AB74" s="83"/>
      <c r="AC74" s="83"/>
      <c r="AD74" s="83"/>
      <c r="AV74" s="81"/>
      <c r="BQ74" s="81"/>
    </row>
    <row r="75" spans="1:89" x14ac:dyDescent="0.2">
      <c r="A75" s="54"/>
      <c r="B75" s="56"/>
      <c r="C75" s="54"/>
      <c r="J75" s="80"/>
      <c r="O75" s="81"/>
      <c r="Y75" s="81"/>
      <c r="Z75" s="81"/>
      <c r="AA75" s="81"/>
      <c r="AB75" s="83"/>
      <c r="AC75" s="83"/>
      <c r="AD75" s="83"/>
      <c r="AV75" s="81"/>
      <c r="BQ75" s="81"/>
    </row>
    <row r="76" spans="1:89" x14ac:dyDescent="0.2">
      <c r="A76" s="43"/>
      <c r="B76" s="44"/>
      <c r="C76" s="44"/>
      <c r="J76" s="64" t="s">
        <v>40</v>
      </c>
      <c r="O76" s="84"/>
      <c r="Y76" s="84"/>
      <c r="Z76" s="84"/>
      <c r="AA76" s="84"/>
      <c r="AV76" s="84"/>
      <c r="BQ76" s="84"/>
    </row>
    <row r="77" spans="1:89" s="57" customFormat="1" ht="11.25" customHeight="1" x14ac:dyDescent="0.15">
      <c r="A77" s="282"/>
      <c r="B77" s="54"/>
      <c r="C77" s="54"/>
      <c r="D77" s="44"/>
      <c r="E77" s="44"/>
      <c r="F77" s="44"/>
      <c r="G77" s="44"/>
      <c r="H77" s="44"/>
      <c r="I77" s="44"/>
      <c r="J77" s="64" t="s">
        <v>40</v>
      </c>
      <c r="K77" s="44"/>
      <c r="L77" s="44"/>
      <c r="M77" s="44"/>
      <c r="N77" s="44"/>
      <c r="O77" s="72"/>
      <c r="P77" s="44"/>
      <c r="Q77" s="44"/>
      <c r="R77" s="44"/>
      <c r="S77" s="44"/>
      <c r="T77" s="44"/>
      <c r="U77" s="44"/>
      <c r="V77" s="44"/>
      <c r="W77" s="44"/>
      <c r="X77" s="44"/>
      <c r="Y77" s="72"/>
      <c r="Z77" s="72"/>
      <c r="AA77" s="72"/>
      <c r="AB77" s="55"/>
      <c r="AC77" s="55"/>
      <c r="AD77" s="55"/>
      <c r="AE77" s="55"/>
      <c r="AF77" s="55"/>
      <c r="AG77" s="55"/>
      <c r="AH77" s="55"/>
      <c r="AI77" s="55"/>
      <c r="AJ77" s="55"/>
      <c r="AK77" s="55"/>
      <c r="AL77" s="55"/>
      <c r="AM77" s="55"/>
      <c r="AN77" s="55"/>
      <c r="AV77" s="72"/>
      <c r="BQ77" s="72"/>
    </row>
    <row r="78" spans="1:89" x14ac:dyDescent="0.2">
      <c r="B78" s="44"/>
      <c r="C78" s="44"/>
      <c r="J78" s="78" t="s">
        <v>40</v>
      </c>
      <c r="O78" s="81"/>
      <c r="Y78" s="81"/>
      <c r="Z78" s="81"/>
      <c r="AA78" s="81"/>
      <c r="AV78" s="81"/>
      <c r="BQ78" s="81"/>
    </row>
    <row r="79" spans="1:89" x14ac:dyDescent="0.2">
      <c r="J79" s="64" t="s">
        <v>40</v>
      </c>
      <c r="O79" s="81"/>
      <c r="Y79" s="81"/>
      <c r="Z79" s="81"/>
      <c r="AA79" s="81"/>
      <c r="AV79" s="81"/>
      <c r="BQ79" s="81"/>
    </row>
    <row r="80" spans="1:89" x14ac:dyDescent="0.2">
      <c r="J80" s="64" t="s">
        <v>40</v>
      </c>
      <c r="O80" s="85"/>
      <c r="Y80" s="85"/>
      <c r="Z80" s="85"/>
      <c r="AA80" s="85"/>
      <c r="AV80" s="85"/>
      <c r="BQ80" s="85"/>
    </row>
    <row r="81" spans="1:69" x14ac:dyDescent="0.2">
      <c r="J81" s="64" t="s">
        <v>40</v>
      </c>
      <c r="L81" s="43"/>
      <c r="M81" s="43" t="s">
        <v>53</v>
      </c>
      <c r="O81" s="81"/>
      <c r="Y81" s="81"/>
      <c r="Z81" s="81"/>
      <c r="AA81" s="81"/>
      <c r="AV81" s="81"/>
      <c r="BQ81" s="81"/>
    </row>
    <row r="82" spans="1:69" x14ac:dyDescent="0.2">
      <c r="J82" s="64" t="s">
        <v>40</v>
      </c>
    </row>
    <row r="83" spans="1:69" x14ac:dyDescent="0.2">
      <c r="J83" s="64" t="s">
        <v>40</v>
      </c>
    </row>
    <row r="84" spans="1:69" x14ac:dyDescent="0.2">
      <c r="C84" s="43" t="s">
        <v>240</v>
      </c>
      <c r="J84" s="78" t="s">
        <v>40</v>
      </c>
      <c r="M84" s="43" t="s">
        <v>241</v>
      </c>
    </row>
    <row r="85" spans="1:69" x14ac:dyDescent="0.2">
      <c r="J85" s="64" t="s">
        <v>40</v>
      </c>
    </row>
    <row r="86" spans="1:69" x14ac:dyDescent="0.2">
      <c r="J86" s="64" t="s">
        <v>40</v>
      </c>
    </row>
    <row r="87" spans="1:69" x14ac:dyDescent="0.2">
      <c r="J87" s="64" t="s">
        <v>40</v>
      </c>
    </row>
    <row r="88" spans="1:69" x14ac:dyDescent="0.2">
      <c r="A88" s="43"/>
      <c r="J88" s="64" t="s">
        <v>40</v>
      </c>
    </row>
    <row r="89" spans="1:69" x14ac:dyDescent="0.2">
      <c r="J89" s="64" t="s">
        <v>40</v>
      </c>
    </row>
    <row r="90" spans="1:69" x14ac:dyDescent="0.2">
      <c r="J90" s="64" t="s">
        <v>40</v>
      </c>
    </row>
    <row r="91" spans="1:69" x14ac:dyDescent="0.2">
      <c r="J91" s="64" t="s">
        <v>40</v>
      </c>
    </row>
    <row r="92" spans="1:69" x14ac:dyDescent="0.2">
      <c r="J92" s="64" t="s">
        <v>40</v>
      </c>
    </row>
    <row r="93" spans="1:69" x14ac:dyDescent="0.2">
      <c r="J93" s="64" t="s">
        <v>40</v>
      </c>
    </row>
    <row r="94" spans="1:69" x14ac:dyDescent="0.2">
      <c r="J94" s="80" t="s">
        <v>40</v>
      </c>
      <c r="O94" s="43"/>
      <c r="Y94" s="86"/>
      <c r="Z94" s="43"/>
      <c r="AA94" s="86"/>
      <c r="AV94" s="86"/>
      <c r="BQ94" s="86"/>
    </row>
    <row r="95" spans="1:69" x14ac:dyDescent="0.2">
      <c r="J95" s="80" t="s">
        <v>40</v>
      </c>
    </row>
    <row r="96" spans="1:69" x14ac:dyDescent="0.2">
      <c r="J96" s="80"/>
    </row>
    <row r="97" spans="3:69" x14ac:dyDescent="0.2">
      <c r="J97" s="80"/>
    </row>
    <row r="104" spans="3:69" ht="14.25" x14ac:dyDescent="0.2">
      <c r="J104" s="39"/>
      <c r="O104" s="87"/>
      <c r="Y104" s="89"/>
      <c r="Z104" s="41"/>
      <c r="AA104" s="89"/>
      <c r="AB104" s="41"/>
      <c r="AC104" s="41"/>
      <c r="AD104" s="41"/>
      <c r="AV104" s="89"/>
      <c r="BQ104" s="89"/>
    </row>
    <row r="112" spans="3:69" x14ac:dyDescent="0.2">
      <c r="C112" s="43" t="s">
        <v>173</v>
      </c>
    </row>
    <row r="170" spans="12:16" x14ac:dyDescent="0.2">
      <c r="L170" s="44" t="s">
        <v>11</v>
      </c>
      <c r="M170" s="44" t="s">
        <v>12</v>
      </c>
      <c r="N170" s="44">
        <v>2021</v>
      </c>
      <c r="P170" s="44">
        <v>2023</v>
      </c>
    </row>
    <row r="175" spans="12:16" x14ac:dyDescent="0.2">
      <c r="L175" s="43" t="s">
        <v>54</v>
      </c>
    </row>
    <row r="178" spans="12:12" x14ac:dyDescent="0.2">
      <c r="L178" s="43" t="s">
        <v>174</v>
      </c>
    </row>
    <row r="260" spans="2:16" x14ac:dyDescent="0.2">
      <c r="B260" s="44" t="s">
        <v>9</v>
      </c>
      <c r="C260" s="44" t="s">
        <v>8</v>
      </c>
      <c r="D260" s="44" t="s">
        <v>11</v>
      </c>
      <c r="E260" s="44" t="s">
        <v>12</v>
      </c>
      <c r="F260" s="44" t="s">
        <v>188</v>
      </c>
      <c r="G260" s="44" t="s">
        <v>189</v>
      </c>
      <c r="H260" s="44" t="s">
        <v>190</v>
      </c>
      <c r="I260" s="44" t="s">
        <v>187</v>
      </c>
      <c r="J260" s="44" t="s">
        <v>234</v>
      </c>
      <c r="K260" s="44" t="s">
        <v>235</v>
      </c>
      <c r="L260" s="44" t="s">
        <v>236</v>
      </c>
      <c r="M260" s="44" t="s">
        <v>237</v>
      </c>
      <c r="N260" s="44">
        <v>2023</v>
      </c>
      <c r="O260" s="44">
        <v>2024</v>
      </c>
      <c r="P260" s="44">
        <v>2025</v>
      </c>
    </row>
  </sheetData>
  <mergeCells count="13">
    <mergeCell ref="P1:S1"/>
    <mergeCell ref="B2:C2"/>
    <mergeCell ref="D2:E2"/>
    <mergeCell ref="A1:A2"/>
    <mergeCell ref="B1:C1"/>
    <mergeCell ref="D1:E1"/>
    <mergeCell ref="F1:I1"/>
    <mergeCell ref="K1:N1"/>
    <mergeCell ref="V2:X2"/>
    <mergeCell ref="D4:E4"/>
    <mergeCell ref="D5:E5"/>
    <mergeCell ref="B29:C29"/>
    <mergeCell ref="D29:E29"/>
  </mergeCells>
  <conditionalFormatting sqref="AB49:AD49 AG49:AI49 AL49:AN49 AQ49:AS49 BB49:BD49 BG49:BI49 BL49:BN49 BR49:BT49 BW49:BY49 CB49:CD49 CG49:CI49 U49:X49">
    <cfRule type="cellIs" dxfId="7" priority="7" operator="lessThan">
      <formula>0</formula>
    </cfRule>
    <cfRule type="cellIs" dxfId="6" priority="8" operator="greaterThan">
      <formula>0</formula>
    </cfRule>
  </conditionalFormatting>
  <conditionalFormatting sqref="AB49:AD49 AG49:AI49 AL49:AN49 AQ49:AS49 BB49:BD49 BG49:BI49 BL49:BN49 BR49:BT49 BW49:BY49 CB49:CD49 CG49:CI49 AW49:AY49">
    <cfRule type="cellIs" dxfId="5" priority="5" operator="lessThan">
      <formula>0</formula>
    </cfRule>
    <cfRule type="cellIs" dxfId="4" priority="6" operator="greaterThan">
      <formula>0</formula>
    </cfRule>
  </conditionalFormatting>
  <conditionalFormatting sqref="F49:I49 K49:N49 P49:S49">
    <cfRule type="cellIs" dxfId="3" priority="3" operator="lessThan">
      <formula>0</formula>
    </cfRule>
    <cfRule type="cellIs" dxfId="2" priority="4" operator="greaterThan">
      <formula>0</formula>
    </cfRule>
  </conditionalFormatting>
  <conditionalFormatting sqref="F49:I49 K49:N49 P49:S49">
    <cfRule type="cellIs" dxfId="1" priority="1" operator="lessThan">
      <formula>0</formula>
    </cfRule>
    <cfRule type="cellIs" dxfId="0" priority="2" operator="greaterThan">
      <formula>0</formula>
    </cfRule>
  </conditionalFormatting>
  <pageMargins left="0.78740157499999996" right="0.78740157499999996" top="0.984251969" bottom="0.984251969" header="0.4921259845" footer="0.4921259845"/>
  <pageSetup paperSize="9" scale="61" orientation="landscape"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FT44"/>
  <sheetViews>
    <sheetView zoomScale="120" zoomScaleNormal="120" workbookViewId="0">
      <selection activeCell="B48" sqref="B48"/>
    </sheetView>
  </sheetViews>
  <sheetFormatPr baseColWidth="10" defaultRowHeight="15.75" customHeight="1" x14ac:dyDescent="0.2"/>
  <cols>
    <col min="1" max="1" width="3.7109375" style="41" customWidth="1"/>
    <col min="2" max="2" width="68.28515625" style="44" customWidth="1"/>
    <col min="3" max="4" width="8.140625" style="43" customWidth="1"/>
    <col min="5" max="6" width="8.140625" style="44" customWidth="1"/>
    <col min="7" max="10" width="9.5703125" style="44" customWidth="1"/>
    <col min="11" max="21" width="9.85546875" style="44" customWidth="1"/>
    <col min="22" max="24" width="11.140625" style="44" customWidth="1"/>
    <col min="25" max="25" width="2.140625" style="45" customWidth="1"/>
    <col min="26" max="26" width="10.7109375" style="44" customWidth="1"/>
    <col min="27" max="41" width="10.7109375" style="46" customWidth="1"/>
    <col min="42" max="46" width="10.7109375" style="41" customWidth="1"/>
    <col min="47" max="61" width="10.7109375" style="46" customWidth="1"/>
    <col min="62" max="66" width="10.7109375" style="41" customWidth="1"/>
    <col min="67" max="81" width="10.7109375" style="46" customWidth="1"/>
    <col min="82" max="86" width="10.7109375" style="41" customWidth="1"/>
    <col min="87" max="16384" width="11.42578125" style="41"/>
  </cols>
  <sheetData>
    <row r="1" spans="2:86" ht="15.75" customHeight="1" x14ac:dyDescent="0.2">
      <c r="B1" s="49"/>
      <c r="C1" s="50"/>
      <c r="D1" s="50"/>
      <c r="E1" s="49"/>
      <c r="F1" s="49"/>
      <c r="G1" s="49"/>
      <c r="H1" s="49"/>
      <c r="I1" s="49"/>
      <c r="J1" s="49"/>
    </row>
    <row r="2" spans="2:86" s="57" customFormat="1" ht="15.75" customHeight="1" x14ac:dyDescent="0.15">
      <c r="B2" s="51" t="s">
        <v>208</v>
      </c>
      <c r="C2" s="52"/>
      <c r="D2" s="52"/>
      <c r="E2" s="52"/>
      <c r="F2" s="52"/>
      <c r="G2" s="26"/>
      <c r="H2" s="26"/>
      <c r="I2" s="26"/>
      <c r="J2" s="26"/>
      <c r="K2" s="53"/>
      <c r="L2" s="53"/>
      <c r="M2" s="53"/>
      <c r="N2" s="53"/>
      <c r="O2" s="53"/>
      <c r="P2" s="53"/>
      <c r="Q2" s="53"/>
      <c r="R2" s="53"/>
      <c r="S2" s="53"/>
      <c r="T2" s="53"/>
      <c r="U2" s="53"/>
      <c r="V2" s="53"/>
      <c r="W2" s="53"/>
      <c r="X2" s="53"/>
      <c r="Y2" s="53"/>
      <c r="Z2" s="53"/>
      <c r="AA2" s="54"/>
      <c r="AB2" s="55"/>
      <c r="AC2" s="55"/>
      <c r="AD2" s="55"/>
      <c r="AE2" s="55"/>
      <c r="AF2" s="55"/>
      <c r="AG2" s="55"/>
      <c r="AH2" s="55"/>
      <c r="AI2" s="55"/>
      <c r="AJ2" s="55"/>
      <c r="AK2" s="55"/>
      <c r="AL2" s="55"/>
      <c r="AM2" s="55"/>
      <c r="AN2" s="56"/>
      <c r="AO2" s="56"/>
      <c r="AP2" s="56"/>
      <c r="AQ2" s="56"/>
      <c r="AR2" s="56"/>
      <c r="AS2" s="56"/>
      <c r="AT2" s="56"/>
      <c r="AU2" s="56"/>
      <c r="AV2" s="56"/>
      <c r="AX2" s="58"/>
      <c r="AY2" s="58"/>
      <c r="AZ2" s="56"/>
      <c r="BA2" s="56"/>
      <c r="BB2" s="56"/>
      <c r="BC2" s="56"/>
      <c r="BD2" s="56"/>
      <c r="BE2" s="56"/>
      <c r="BF2" s="56"/>
      <c r="BG2" s="56"/>
      <c r="BH2" s="56"/>
      <c r="BI2" s="56"/>
      <c r="BJ2" s="56"/>
      <c r="BK2" s="56"/>
      <c r="BL2" s="56"/>
      <c r="BM2" s="56"/>
      <c r="BN2" s="56"/>
      <c r="BO2" s="56"/>
      <c r="BP2" s="56"/>
      <c r="BR2" s="58"/>
      <c r="BS2" s="58"/>
      <c r="BT2" s="56"/>
      <c r="BU2" s="56"/>
      <c r="BV2" s="56"/>
      <c r="BW2" s="56"/>
      <c r="BX2" s="56"/>
      <c r="BY2" s="56"/>
      <c r="BZ2" s="56"/>
      <c r="CA2" s="56"/>
      <c r="CB2" s="56"/>
      <c r="CC2" s="56"/>
      <c r="CD2" s="56"/>
      <c r="CE2" s="56"/>
      <c r="CF2" s="56"/>
      <c r="CG2" s="56"/>
      <c r="CH2" s="56"/>
    </row>
    <row r="3" spans="2:86" s="57" customFormat="1" ht="15.75" customHeight="1" x14ac:dyDescent="0.15">
      <c r="B3" s="59" t="s">
        <v>95</v>
      </c>
      <c r="C3" s="52"/>
      <c r="D3" s="52"/>
      <c r="E3" s="52"/>
      <c r="F3" s="52"/>
      <c r="G3" s="26"/>
      <c r="H3" s="26"/>
      <c r="I3" s="26"/>
      <c r="J3" s="26"/>
      <c r="K3" s="53"/>
      <c r="L3" s="53"/>
      <c r="M3" s="53"/>
      <c r="N3" s="53"/>
      <c r="O3" s="53"/>
      <c r="P3" s="53"/>
      <c r="Q3" s="53"/>
      <c r="R3" s="53"/>
      <c r="S3" s="53"/>
      <c r="T3" s="53"/>
      <c r="U3" s="53"/>
      <c r="V3" s="53"/>
      <c r="W3" s="53"/>
      <c r="X3" s="53"/>
      <c r="Y3" s="53"/>
      <c r="Z3" s="53"/>
      <c r="AA3" s="54"/>
      <c r="AB3" s="55"/>
      <c r="AC3" s="55"/>
      <c r="AD3" s="55"/>
      <c r="AE3" s="55"/>
      <c r="AF3" s="55"/>
      <c r="AG3" s="55"/>
      <c r="AH3" s="55"/>
      <c r="AI3" s="55"/>
      <c r="AJ3" s="55"/>
      <c r="AK3" s="55"/>
      <c r="AL3" s="55"/>
      <c r="AM3" s="55"/>
      <c r="AN3" s="56"/>
      <c r="AO3" s="56"/>
      <c r="AP3" s="56"/>
      <c r="AQ3" s="56"/>
      <c r="AR3" s="56"/>
      <c r="AS3" s="56"/>
      <c r="AT3" s="56"/>
      <c r="AU3" s="56"/>
      <c r="AV3" s="56"/>
      <c r="AX3" s="58"/>
      <c r="AY3" s="58"/>
      <c r="AZ3" s="56"/>
      <c r="BA3" s="56"/>
      <c r="BB3" s="56"/>
      <c r="BC3" s="56"/>
      <c r="BD3" s="56"/>
      <c r="BE3" s="56"/>
      <c r="BF3" s="56"/>
      <c r="BG3" s="56"/>
      <c r="BH3" s="56"/>
      <c r="BI3" s="56"/>
      <c r="BJ3" s="56"/>
      <c r="BK3" s="56"/>
      <c r="BL3" s="56"/>
      <c r="BM3" s="56"/>
      <c r="BN3" s="56"/>
      <c r="BO3" s="56"/>
      <c r="BP3" s="56"/>
      <c r="BR3" s="58"/>
      <c r="BS3" s="58"/>
      <c r="BT3" s="56"/>
      <c r="BU3" s="56"/>
      <c r="BV3" s="56"/>
      <c r="BW3" s="56"/>
      <c r="BX3" s="56"/>
      <c r="BY3" s="56"/>
      <c r="BZ3" s="56"/>
      <c r="CA3" s="56"/>
      <c r="CB3" s="56"/>
      <c r="CC3" s="56"/>
      <c r="CD3" s="56"/>
      <c r="CE3" s="56"/>
      <c r="CF3" s="56"/>
      <c r="CG3" s="56"/>
      <c r="CH3" s="56"/>
    </row>
    <row r="4" spans="2:86" s="57" customFormat="1" ht="15.75" customHeight="1" x14ac:dyDescent="0.15">
      <c r="B4" s="60"/>
      <c r="C4" s="52"/>
      <c r="D4" s="52"/>
      <c r="E4" s="52"/>
      <c r="F4" s="52"/>
      <c r="G4" s="26"/>
      <c r="H4" s="26"/>
      <c r="I4" s="26"/>
      <c r="J4" s="26"/>
      <c r="K4" s="53"/>
      <c r="L4" s="53"/>
      <c r="M4" s="53"/>
      <c r="N4" s="53"/>
      <c r="O4" s="53"/>
      <c r="P4" s="53"/>
      <c r="Q4" s="53"/>
      <c r="R4" s="53"/>
      <c r="S4" s="53"/>
      <c r="T4" s="53"/>
      <c r="U4" s="53"/>
      <c r="V4" s="53"/>
      <c r="W4" s="53"/>
      <c r="X4" s="53"/>
      <c r="Y4" s="53"/>
      <c r="Z4" s="53"/>
      <c r="AA4" s="54"/>
      <c r="AB4" s="55"/>
      <c r="AC4" s="55"/>
      <c r="AD4" s="55"/>
      <c r="AE4" s="55"/>
      <c r="AF4" s="55"/>
      <c r="AG4" s="55"/>
      <c r="AH4" s="55"/>
      <c r="AI4" s="55"/>
      <c r="AJ4" s="55"/>
      <c r="AK4" s="55"/>
      <c r="AL4" s="55"/>
      <c r="AM4" s="55"/>
      <c r="AN4" s="56"/>
      <c r="AO4" s="56"/>
      <c r="AP4" s="56"/>
      <c r="AQ4" s="56"/>
      <c r="AR4" s="56"/>
      <c r="AS4" s="56"/>
      <c r="AT4" s="56"/>
      <c r="AU4" s="56"/>
      <c r="AV4" s="56"/>
      <c r="AX4" s="58"/>
      <c r="AY4" s="58"/>
      <c r="AZ4" s="56"/>
      <c r="BA4" s="56"/>
      <c r="BB4" s="56"/>
      <c r="BC4" s="56"/>
      <c r="BD4" s="56"/>
      <c r="BE4" s="56"/>
      <c r="BF4" s="56"/>
      <c r="BG4" s="56"/>
      <c r="BH4" s="56"/>
      <c r="BI4" s="56"/>
      <c r="BJ4" s="56"/>
      <c r="BK4" s="56"/>
      <c r="BL4" s="56"/>
      <c r="BM4" s="56"/>
      <c r="BN4" s="56"/>
      <c r="BO4" s="56"/>
      <c r="BP4" s="56"/>
      <c r="BR4" s="58"/>
      <c r="BS4" s="58"/>
      <c r="BT4" s="56"/>
      <c r="BU4" s="56"/>
      <c r="BV4" s="56"/>
      <c r="BW4" s="56"/>
      <c r="BX4" s="56"/>
      <c r="BY4" s="56"/>
      <c r="BZ4" s="56"/>
      <c r="CA4" s="56"/>
      <c r="CB4" s="56"/>
      <c r="CC4" s="56"/>
      <c r="CD4" s="56"/>
      <c r="CE4" s="56"/>
      <c r="CF4" s="56"/>
      <c r="CG4" s="56"/>
      <c r="CH4" s="56"/>
    </row>
    <row r="5" spans="2:86" s="57" customFormat="1" ht="15.75" customHeight="1" x14ac:dyDescent="0.2">
      <c r="B5" s="75" t="s">
        <v>96</v>
      </c>
      <c r="C5" s="61"/>
      <c r="D5" s="61"/>
      <c r="E5" s="52"/>
      <c r="F5" s="52"/>
      <c r="G5" s="26"/>
      <c r="H5" s="26"/>
      <c r="I5" s="26"/>
      <c r="J5" s="26"/>
      <c r="K5" s="53"/>
      <c r="L5" s="53"/>
      <c r="M5" s="53"/>
      <c r="N5" s="53"/>
      <c r="O5" s="53"/>
      <c r="P5" s="53"/>
      <c r="Q5" s="53"/>
      <c r="R5" s="53"/>
      <c r="S5" s="53"/>
      <c r="T5" s="53"/>
      <c r="U5" s="53"/>
      <c r="V5" s="53"/>
      <c r="W5" s="53"/>
      <c r="X5" s="53"/>
      <c r="Y5" s="53"/>
      <c r="Z5" s="53"/>
      <c r="AA5" s="54"/>
      <c r="AB5" s="55"/>
      <c r="AC5" s="55"/>
      <c r="AD5" s="55"/>
      <c r="AE5" s="55"/>
      <c r="AF5" s="55"/>
      <c r="AG5" s="55"/>
      <c r="AH5" s="55"/>
      <c r="AI5" s="55"/>
      <c r="AJ5" s="55"/>
      <c r="AK5" s="55"/>
      <c r="AL5" s="55"/>
      <c r="AM5" s="55"/>
      <c r="AN5" s="56"/>
      <c r="AO5" s="56"/>
      <c r="AP5" s="56"/>
      <c r="AQ5" s="56"/>
      <c r="AR5" s="56"/>
      <c r="AS5" s="56"/>
      <c r="AT5" s="56"/>
      <c r="AU5" s="56"/>
      <c r="AV5" s="56"/>
      <c r="AX5" s="58"/>
      <c r="AY5" s="58"/>
      <c r="AZ5" s="56"/>
      <c r="BA5" s="56"/>
      <c r="BB5" s="56"/>
      <c r="BC5" s="56"/>
      <c r="BD5" s="56"/>
      <c r="BE5" s="56"/>
      <c r="BF5" s="56"/>
      <c r="BG5" s="56"/>
      <c r="BH5" s="56"/>
      <c r="BI5" s="56"/>
      <c r="BJ5" s="56"/>
      <c r="BK5" s="56"/>
      <c r="BL5" s="56"/>
      <c r="BM5" s="56"/>
      <c r="BN5" s="56"/>
      <c r="BO5" s="56"/>
      <c r="BP5" s="56"/>
      <c r="BR5" s="58"/>
      <c r="BS5" s="58"/>
      <c r="BT5" s="56"/>
      <c r="BU5" s="56"/>
      <c r="BV5" s="56"/>
      <c r="BW5" s="56"/>
      <c r="BX5" s="56"/>
      <c r="BY5" s="56"/>
      <c r="BZ5" s="56"/>
      <c r="CA5" s="56"/>
      <c r="CB5" s="56"/>
      <c r="CC5" s="56"/>
      <c r="CD5" s="56"/>
      <c r="CE5" s="56"/>
      <c r="CF5" s="56"/>
      <c r="CG5" s="56"/>
      <c r="CH5" s="56"/>
    </row>
    <row r="6" spans="2:86" s="57" customFormat="1" ht="15.75" customHeight="1" x14ac:dyDescent="0.2">
      <c r="B6" s="41" t="s">
        <v>97</v>
      </c>
      <c r="C6" s="62" t="s">
        <v>16</v>
      </c>
      <c r="D6" s="62"/>
      <c r="E6" s="60"/>
      <c r="F6" s="62"/>
      <c r="G6" s="63"/>
      <c r="H6" s="63"/>
      <c r="I6" s="63"/>
      <c r="J6" s="63"/>
      <c r="K6" s="64"/>
      <c r="L6" s="65"/>
      <c r="M6" s="65"/>
      <c r="N6" s="65"/>
      <c r="O6" s="65"/>
      <c r="P6" s="65"/>
      <c r="Q6" s="65"/>
      <c r="R6" s="65"/>
      <c r="S6" s="65"/>
      <c r="T6" s="65"/>
      <c r="U6" s="65"/>
      <c r="V6" s="65"/>
      <c r="W6" s="65"/>
      <c r="X6" s="65"/>
      <c r="Y6" s="65"/>
      <c r="Z6" s="65"/>
      <c r="AA6" s="55"/>
      <c r="AB6" s="55"/>
      <c r="AC6" s="55"/>
      <c r="AD6" s="55"/>
      <c r="AE6" s="55"/>
      <c r="AF6" s="55"/>
      <c r="AG6" s="55"/>
      <c r="AH6" s="55"/>
      <c r="AI6" s="55"/>
      <c r="AJ6" s="55"/>
      <c r="AK6" s="55"/>
      <c r="AL6" s="55"/>
      <c r="AM6" s="55"/>
      <c r="AX6" s="66"/>
      <c r="AY6" s="66"/>
      <c r="BR6" s="66"/>
      <c r="BS6" s="66"/>
    </row>
    <row r="7" spans="2:86" s="57" customFormat="1" ht="15.75" customHeight="1" x14ac:dyDescent="0.2">
      <c r="B7" s="41" t="s">
        <v>98</v>
      </c>
      <c r="C7" s="62" t="s">
        <v>14</v>
      </c>
      <c r="D7" s="62"/>
      <c r="E7" s="67"/>
      <c r="F7" s="68"/>
      <c r="G7" s="63"/>
      <c r="H7" s="63"/>
      <c r="I7" s="63"/>
      <c r="J7" s="63"/>
      <c r="K7" s="64"/>
      <c r="L7" s="65"/>
      <c r="M7" s="65"/>
      <c r="N7" s="65"/>
      <c r="O7" s="65"/>
      <c r="P7" s="65"/>
      <c r="Q7" s="65"/>
      <c r="R7" s="65"/>
      <c r="S7" s="65"/>
      <c r="T7" s="65"/>
      <c r="U7" s="65"/>
      <c r="V7" s="65"/>
      <c r="W7" s="65"/>
      <c r="X7" s="65"/>
      <c r="Y7" s="65"/>
      <c r="Z7" s="65"/>
      <c r="AA7" s="69"/>
      <c r="AB7" s="55"/>
      <c r="AC7" s="55"/>
      <c r="AD7" s="70"/>
      <c r="AE7" s="70"/>
      <c r="AF7" s="54"/>
      <c r="AG7" s="54"/>
      <c r="AH7" s="54"/>
      <c r="AI7" s="54"/>
      <c r="AJ7" s="54"/>
      <c r="AK7" s="54"/>
      <c r="AL7" s="54"/>
      <c r="AM7" s="54"/>
      <c r="AN7" s="56"/>
      <c r="AO7" s="56"/>
      <c r="AP7" s="56"/>
      <c r="AQ7" s="56"/>
      <c r="AR7" s="56"/>
      <c r="AS7" s="56"/>
      <c r="AT7" s="56"/>
      <c r="AU7" s="56"/>
      <c r="AV7" s="56"/>
      <c r="AX7" s="58"/>
      <c r="AY7" s="58"/>
      <c r="AZ7" s="56"/>
      <c r="BA7" s="56"/>
      <c r="BB7" s="56"/>
      <c r="BC7" s="56"/>
      <c r="BD7" s="56"/>
      <c r="BE7" s="56"/>
      <c r="BF7" s="56"/>
      <c r="BG7" s="56"/>
      <c r="BH7" s="56"/>
      <c r="BI7" s="56"/>
      <c r="BJ7" s="56"/>
      <c r="BK7" s="56"/>
      <c r="BL7" s="56"/>
      <c r="BM7" s="56"/>
      <c r="BN7" s="56"/>
      <c r="BO7" s="56"/>
      <c r="BP7" s="56"/>
      <c r="BR7" s="58"/>
      <c r="BS7" s="58"/>
      <c r="BT7" s="56"/>
      <c r="BU7" s="56"/>
      <c r="BV7" s="56"/>
      <c r="BW7" s="56"/>
      <c r="BX7" s="56"/>
      <c r="BY7" s="56"/>
      <c r="BZ7" s="56"/>
      <c r="CA7" s="56"/>
      <c r="CB7" s="56"/>
      <c r="CC7" s="56"/>
      <c r="CD7" s="56"/>
      <c r="CE7" s="56"/>
      <c r="CF7" s="56"/>
      <c r="CG7" s="56"/>
      <c r="CH7" s="56"/>
    </row>
    <row r="8" spans="2:86" s="57" customFormat="1" ht="15.75" customHeight="1" x14ac:dyDescent="0.2">
      <c r="B8" s="41" t="s">
        <v>99</v>
      </c>
      <c r="C8" s="62" t="s">
        <v>15</v>
      </c>
      <c r="D8" s="62"/>
      <c r="E8" s="60"/>
      <c r="F8" s="62"/>
      <c r="G8" s="71"/>
      <c r="H8" s="71"/>
      <c r="I8" s="71"/>
      <c r="J8" s="71"/>
      <c r="K8" s="64"/>
      <c r="L8" s="72"/>
      <c r="M8" s="72"/>
      <c r="N8" s="72"/>
      <c r="O8" s="72"/>
      <c r="P8" s="72"/>
      <c r="Q8" s="72"/>
      <c r="R8" s="72"/>
      <c r="S8" s="72"/>
      <c r="T8" s="72"/>
      <c r="U8" s="72"/>
      <c r="V8" s="72"/>
      <c r="W8" s="72"/>
      <c r="X8" s="72"/>
      <c r="Y8" s="72"/>
      <c r="Z8" s="72"/>
      <c r="AA8" s="55"/>
      <c r="AB8" s="55"/>
      <c r="AC8" s="55"/>
      <c r="AD8" s="73"/>
      <c r="AE8" s="73"/>
      <c r="AF8" s="55"/>
      <c r="AG8" s="55"/>
      <c r="AH8" s="55"/>
      <c r="AI8" s="55"/>
      <c r="AJ8" s="55"/>
      <c r="AK8" s="55"/>
      <c r="AL8" s="55"/>
      <c r="AM8" s="55"/>
      <c r="AX8" s="74"/>
      <c r="AY8" s="74"/>
      <c r="BR8" s="74"/>
      <c r="BS8" s="74"/>
    </row>
    <row r="9" spans="2:86" s="57" customFormat="1" ht="15.75" customHeight="1" x14ac:dyDescent="0.2">
      <c r="B9" s="41"/>
      <c r="C9" s="62"/>
      <c r="D9" s="62"/>
      <c r="E9" s="60"/>
      <c r="F9" s="62"/>
      <c r="G9" s="71"/>
      <c r="H9" s="71"/>
      <c r="I9" s="71"/>
      <c r="J9" s="71"/>
      <c r="K9" s="64"/>
      <c r="L9" s="72"/>
      <c r="M9" s="72"/>
      <c r="N9" s="72"/>
      <c r="O9" s="72"/>
      <c r="P9" s="72"/>
      <c r="Q9" s="72"/>
      <c r="R9" s="72"/>
      <c r="S9" s="72"/>
      <c r="T9" s="72"/>
      <c r="U9" s="72"/>
      <c r="V9" s="72"/>
      <c r="W9" s="72"/>
      <c r="X9" s="72"/>
      <c r="Y9" s="72"/>
      <c r="Z9" s="72"/>
      <c r="AA9" s="55"/>
      <c r="AB9" s="55"/>
      <c r="AC9" s="55"/>
      <c r="AD9" s="73"/>
      <c r="AE9" s="73"/>
      <c r="AF9" s="55"/>
      <c r="AG9" s="55"/>
      <c r="AH9" s="55"/>
      <c r="AI9" s="55"/>
      <c r="AJ9" s="55"/>
      <c r="AK9" s="55"/>
      <c r="AL9" s="55"/>
      <c r="AM9" s="55"/>
      <c r="AX9" s="74"/>
      <c r="AY9" s="74"/>
      <c r="BR9" s="74"/>
      <c r="BS9" s="74"/>
    </row>
    <row r="10" spans="2:86" s="57" customFormat="1" ht="15.75" customHeight="1" x14ac:dyDescent="0.2">
      <c r="B10" s="75" t="s">
        <v>100</v>
      </c>
      <c r="C10" s="62"/>
      <c r="D10" s="62"/>
      <c r="E10" s="60"/>
      <c r="F10" s="62"/>
      <c r="G10" s="63"/>
      <c r="H10" s="63"/>
      <c r="I10" s="63"/>
      <c r="J10" s="63"/>
      <c r="K10" s="64"/>
      <c r="L10" s="65"/>
      <c r="M10" s="65"/>
      <c r="N10" s="65"/>
      <c r="O10" s="65"/>
      <c r="P10" s="65"/>
      <c r="Q10" s="65"/>
      <c r="R10" s="65"/>
      <c r="S10" s="65"/>
      <c r="T10" s="65"/>
      <c r="U10" s="65"/>
      <c r="V10" s="65"/>
      <c r="W10" s="65"/>
      <c r="X10" s="65"/>
      <c r="Y10" s="65"/>
      <c r="Z10" s="65"/>
      <c r="AA10" s="55"/>
      <c r="AB10" s="55"/>
      <c r="AC10" s="55"/>
      <c r="AD10" s="55"/>
      <c r="AE10" s="55"/>
      <c r="AF10" s="55"/>
      <c r="AG10" s="55"/>
      <c r="AH10" s="55"/>
      <c r="AI10" s="55"/>
      <c r="AJ10" s="55"/>
      <c r="AK10" s="55"/>
      <c r="AL10" s="55"/>
      <c r="AM10" s="55"/>
      <c r="AX10" s="66"/>
      <c r="AY10" s="66"/>
      <c r="BR10" s="66"/>
      <c r="BS10" s="66"/>
    </row>
    <row r="11" spans="2:86" s="57" customFormat="1" ht="15.75" customHeight="1" x14ac:dyDescent="0.2">
      <c r="B11" s="41" t="s">
        <v>101</v>
      </c>
      <c r="C11" s="76" t="s">
        <v>41</v>
      </c>
      <c r="D11" s="62"/>
      <c r="E11" s="60"/>
      <c r="F11" s="62"/>
      <c r="G11" s="63"/>
      <c r="H11" s="63"/>
      <c r="I11" s="63"/>
      <c r="J11" s="63"/>
      <c r="K11" s="64"/>
      <c r="L11" s="65"/>
      <c r="M11" s="65"/>
      <c r="N11" s="65"/>
      <c r="O11" s="65"/>
      <c r="P11" s="65"/>
      <c r="Q11" s="65"/>
      <c r="R11" s="65"/>
      <c r="S11" s="65"/>
      <c r="T11" s="65"/>
      <c r="U11" s="65"/>
      <c r="V11" s="65"/>
      <c r="W11" s="65"/>
      <c r="X11" s="65"/>
      <c r="Y11" s="65"/>
      <c r="Z11" s="65"/>
      <c r="AA11" s="55"/>
      <c r="AB11" s="55"/>
      <c r="AC11" s="55"/>
      <c r="AD11" s="55"/>
      <c r="AE11" s="55"/>
      <c r="AF11" s="55"/>
      <c r="AG11" s="55"/>
      <c r="AH11" s="55"/>
      <c r="AI11" s="55"/>
      <c r="AJ11" s="55"/>
      <c r="AK11" s="55"/>
      <c r="AL11" s="55"/>
      <c r="AM11" s="55"/>
      <c r="AX11" s="66"/>
      <c r="AY11" s="66"/>
      <c r="BR11" s="66"/>
      <c r="BS11" s="66"/>
    </row>
    <row r="12" spans="2:86" s="57" customFormat="1" ht="15.75" customHeight="1" x14ac:dyDescent="0.2">
      <c r="B12" s="41" t="s">
        <v>102</v>
      </c>
      <c r="C12" s="76" t="s">
        <v>42</v>
      </c>
      <c r="D12" s="62"/>
      <c r="E12" s="60"/>
      <c r="F12" s="62"/>
      <c r="G12" s="63"/>
      <c r="H12" s="63"/>
      <c r="I12" s="63"/>
      <c r="J12" s="63"/>
      <c r="K12" s="64"/>
      <c r="L12" s="65"/>
      <c r="M12" s="65"/>
      <c r="N12" s="65"/>
      <c r="O12" s="65"/>
      <c r="P12" s="65"/>
      <c r="Q12" s="65"/>
      <c r="R12" s="65"/>
      <c r="S12" s="65"/>
      <c r="T12" s="65"/>
      <c r="U12" s="65"/>
      <c r="V12" s="65"/>
      <c r="W12" s="65"/>
      <c r="X12" s="65"/>
      <c r="Y12" s="65"/>
      <c r="Z12" s="65"/>
      <c r="AA12" s="55"/>
      <c r="AB12" s="55"/>
      <c r="AC12" s="55"/>
      <c r="AD12" s="55"/>
      <c r="AE12" s="55"/>
      <c r="AF12" s="55"/>
      <c r="AG12" s="55"/>
      <c r="AH12" s="55"/>
      <c r="AI12" s="55"/>
      <c r="AJ12" s="55"/>
      <c r="AK12" s="55"/>
      <c r="AL12" s="55"/>
      <c r="AM12" s="55"/>
      <c r="AX12" s="66"/>
      <c r="AY12" s="66"/>
      <c r="BR12" s="66"/>
      <c r="BS12" s="66"/>
    </row>
    <row r="13" spans="2:86" s="57" customFormat="1" ht="15.75" customHeight="1" x14ac:dyDescent="0.2">
      <c r="B13" s="41" t="s">
        <v>103</v>
      </c>
      <c r="C13" s="62" t="s">
        <v>17</v>
      </c>
      <c r="D13" s="62"/>
      <c r="E13" s="60"/>
      <c r="F13" s="62"/>
      <c r="G13" s="63"/>
      <c r="H13" s="63"/>
      <c r="I13" s="63"/>
      <c r="J13" s="63"/>
      <c r="K13" s="64"/>
      <c r="L13" s="65"/>
      <c r="M13" s="65"/>
      <c r="N13" s="65"/>
      <c r="O13" s="65"/>
      <c r="P13" s="65"/>
      <c r="Q13" s="65"/>
      <c r="R13" s="65"/>
      <c r="S13" s="65"/>
      <c r="T13" s="65"/>
      <c r="U13" s="65"/>
      <c r="V13" s="65"/>
      <c r="W13" s="65"/>
      <c r="X13" s="65"/>
      <c r="Y13" s="65"/>
      <c r="Z13" s="65"/>
      <c r="AA13" s="55"/>
      <c r="AB13" s="55"/>
      <c r="AC13" s="73"/>
      <c r="AD13" s="55"/>
      <c r="AE13" s="55"/>
      <c r="AF13" s="55"/>
      <c r="AG13" s="55"/>
      <c r="AH13" s="55"/>
      <c r="AI13" s="55"/>
      <c r="AJ13" s="55"/>
      <c r="AK13" s="55"/>
      <c r="AL13" s="55"/>
      <c r="AM13" s="55"/>
      <c r="AW13" s="74"/>
      <c r="BQ13" s="74"/>
    </row>
    <row r="14" spans="2:86" s="57" customFormat="1" ht="15.75" customHeight="1" x14ac:dyDescent="0.2">
      <c r="B14" s="41" t="s">
        <v>104</v>
      </c>
      <c r="C14" s="62" t="s">
        <v>13</v>
      </c>
      <c r="D14" s="62"/>
      <c r="E14" s="60"/>
      <c r="F14" s="62"/>
      <c r="G14" s="77"/>
      <c r="H14" s="77"/>
      <c r="I14" s="77"/>
      <c r="J14" s="77"/>
      <c r="K14" s="78"/>
      <c r="L14" s="53"/>
      <c r="M14" s="53"/>
      <c r="N14" s="53"/>
      <c r="O14" s="53"/>
      <c r="P14" s="53"/>
      <c r="Q14" s="53"/>
      <c r="R14" s="53"/>
      <c r="S14" s="53"/>
      <c r="T14" s="53"/>
      <c r="U14" s="53"/>
      <c r="V14" s="53"/>
      <c r="W14" s="53"/>
      <c r="X14" s="53"/>
      <c r="Y14" s="53"/>
      <c r="Z14" s="53"/>
      <c r="AA14" s="54"/>
      <c r="AB14" s="55"/>
      <c r="AC14" s="55"/>
      <c r="AD14" s="55"/>
      <c r="AE14" s="79"/>
      <c r="AF14" s="55"/>
      <c r="AG14" s="55"/>
      <c r="AH14" s="55"/>
      <c r="AI14" s="55"/>
      <c r="AJ14" s="55"/>
      <c r="AK14" s="55"/>
      <c r="AL14" s="55"/>
      <c r="AM14" s="55"/>
      <c r="AN14" s="56"/>
      <c r="AO14" s="56"/>
      <c r="AP14" s="56"/>
      <c r="AQ14" s="56"/>
      <c r="AR14" s="56"/>
      <c r="AS14" s="56"/>
      <c r="AT14" s="56"/>
      <c r="AU14" s="56"/>
      <c r="AV14" s="56"/>
      <c r="AX14" s="58"/>
      <c r="AY14" s="58"/>
      <c r="AZ14" s="56"/>
      <c r="BA14" s="56"/>
      <c r="BB14" s="56"/>
      <c r="BC14" s="56"/>
      <c r="BD14" s="56"/>
      <c r="BE14" s="56"/>
      <c r="BF14" s="56"/>
      <c r="BG14" s="56"/>
      <c r="BH14" s="56"/>
      <c r="BI14" s="56"/>
      <c r="BJ14" s="56"/>
      <c r="BK14" s="56"/>
      <c r="BL14" s="56"/>
      <c r="BM14" s="56"/>
      <c r="BN14" s="56"/>
      <c r="BO14" s="56"/>
      <c r="BP14" s="56"/>
      <c r="BR14" s="58"/>
      <c r="BS14" s="58"/>
      <c r="BT14" s="56"/>
      <c r="BU14" s="56"/>
      <c r="BV14" s="56"/>
      <c r="BW14" s="56"/>
      <c r="BX14" s="56"/>
      <c r="BY14" s="56"/>
      <c r="BZ14" s="56"/>
      <c r="CA14" s="56"/>
      <c r="CB14" s="56"/>
      <c r="CC14" s="56"/>
      <c r="CD14" s="56"/>
      <c r="CE14" s="56"/>
      <c r="CF14" s="56"/>
      <c r="CG14" s="56"/>
      <c r="CH14" s="56"/>
    </row>
    <row r="15" spans="2:86" s="57" customFormat="1" ht="15.75" customHeight="1" x14ac:dyDescent="0.2">
      <c r="B15" s="41" t="s">
        <v>105</v>
      </c>
      <c r="C15" s="76" t="s">
        <v>44</v>
      </c>
      <c r="D15" s="62"/>
      <c r="E15" s="60"/>
      <c r="F15" s="62"/>
      <c r="G15" s="77"/>
      <c r="H15" s="77"/>
      <c r="I15" s="77"/>
      <c r="J15" s="77"/>
      <c r="K15" s="78"/>
      <c r="L15" s="53"/>
      <c r="M15" s="53"/>
      <c r="N15" s="53"/>
      <c r="O15" s="53"/>
      <c r="P15" s="53"/>
      <c r="Q15" s="53"/>
      <c r="R15" s="53"/>
      <c r="S15" s="53"/>
      <c r="T15" s="53"/>
      <c r="U15" s="53"/>
      <c r="V15" s="53"/>
      <c r="W15" s="53"/>
      <c r="X15" s="53"/>
      <c r="Y15" s="53"/>
      <c r="Z15" s="53"/>
      <c r="AA15" s="54"/>
      <c r="AB15" s="55"/>
      <c r="AC15" s="55"/>
      <c r="AD15" s="55"/>
      <c r="AE15" s="79"/>
      <c r="AF15" s="55"/>
      <c r="AG15" s="55"/>
      <c r="AH15" s="55"/>
      <c r="AI15" s="55"/>
      <c r="AJ15" s="55"/>
      <c r="AK15" s="55"/>
      <c r="AL15" s="55"/>
      <c r="AM15" s="55"/>
      <c r="AN15" s="56"/>
      <c r="AO15" s="56"/>
      <c r="AP15" s="56"/>
      <c r="AQ15" s="56"/>
      <c r="AR15" s="56"/>
      <c r="AS15" s="56"/>
      <c r="AT15" s="56"/>
      <c r="AU15" s="56"/>
      <c r="AV15" s="56"/>
      <c r="AX15" s="58"/>
      <c r="AY15" s="58"/>
      <c r="AZ15" s="56"/>
      <c r="BA15" s="56"/>
      <c r="BB15" s="56"/>
      <c r="BC15" s="56"/>
      <c r="BD15" s="56"/>
      <c r="BE15" s="56"/>
      <c r="BF15" s="56"/>
      <c r="BG15" s="56"/>
      <c r="BH15" s="56"/>
      <c r="BI15" s="56"/>
      <c r="BJ15" s="56"/>
      <c r="BK15" s="56"/>
      <c r="BL15" s="56"/>
      <c r="BM15" s="56"/>
      <c r="BN15" s="56"/>
      <c r="BO15" s="56"/>
      <c r="BP15" s="56"/>
      <c r="BR15" s="58"/>
      <c r="BS15" s="58"/>
      <c r="BT15" s="56"/>
      <c r="BU15" s="56"/>
      <c r="BV15" s="56"/>
      <c r="BW15" s="56"/>
      <c r="BX15" s="56"/>
      <c r="BY15" s="56"/>
      <c r="BZ15" s="56"/>
      <c r="CA15" s="56"/>
      <c r="CB15" s="56"/>
      <c r="CC15" s="56"/>
      <c r="CD15" s="56"/>
      <c r="CE15" s="56"/>
      <c r="CF15" s="56"/>
      <c r="CG15" s="56"/>
      <c r="CH15" s="56"/>
    </row>
    <row r="16" spans="2:86" s="57" customFormat="1" ht="15.75" customHeight="1" x14ac:dyDescent="0.2">
      <c r="B16" s="41" t="s">
        <v>106</v>
      </c>
      <c r="C16" s="76" t="s">
        <v>43</v>
      </c>
      <c r="D16" s="62"/>
      <c r="E16" s="62"/>
      <c r="F16" s="62"/>
      <c r="G16" s="63"/>
      <c r="H16" s="63"/>
      <c r="I16" s="63"/>
      <c r="J16" s="63"/>
      <c r="K16" s="64"/>
      <c r="L16" s="65"/>
      <c r="M16" s="65"/>
      <c r="N16" s="65"/>
      <c r="O16" s="65"/>
      <c r="P16" s="65"/>
      <c r="Q16" s="65"/>
      <c r="R16" s="65"/>
      <c r="S16" s="65"/>
      <c r="T16" s="65"/>
      <c r="U16" s="65"/>
      <c r="V16" s="65"/>
      <c r="W16" s="65"/>
      <c r="X16" s="65"/>
      <c r="Y16" s="65"/>
      <c r="Z16" s="65"/>
      <c r="AA16" s="55"/>
      <c r="AB16" s="55"/>
      <c r="AC16" s="55"/>
      <c r="AD16" s="55"/>
      <c r="AE16" s="55"/>
      <c r="AF16" s="55"/>
      <c r="AG16" s="55"/>
      <c r="AH16" s="55"/>
      <c r="AI16" s="55"/>
      <c r="AJ16" s="55"/>
      <c r="AK16" s="55"/>
      <c r="AL16" s="55"/>
      <c r="AM16" s="55"/>
    </row>
    <row r="17" spans="2:176" ht="15.75" customHeight="1" x14ac:dyDescent="0.2">
      <c r="B17" s="41"/>
      <c r="C17" s="49"/>
      <c r="D17" s="62"/>
      <c r="E17" s="62"/>
      <c r="F17" s="62"/>
      <c r="G17" s="63"/>
      <c r="H17" s="63"/>
      <c r="I17" s="63"/>
      <c r="J17" s="63"/>
      <c r="K17" s="80"/>
      <c r="L17" s="81"/>
      <c r="M17" s="81"/>
      <c r="N17" s="81"/>
      <c r="O17" s="81"/>
      <c r="P17" s="81"/>
      <c r="Q17" s="81"/>
      <c r="R17" s="81"/>
      <c r="S17" s="81"/>
      <c r="T17" s="81"/>
      <c r="U17" s="81"/>
      <c r="V17" s="81"/>
      <c r="W17" s="81"/>
      <c r="X17" s="81"/>
      <c r="Y17" s="81"/>
      <c r="Z17" s="81"/>
      <c r="AA17" s="83"/>
      <c r="AB17" s="83"/>
      <c r="AC17" s="83"/>
    </row>
    <row r="18" spans="2:176" ht="15.75" customHeight="1" x14ac:dyDescent="0.2">
      <c r="B18" s="49"/>
      <c r="C18" s="49"/>
      <c r="D18" s="49"/>
      <c r="E18" s="49"/>
      <c r="F18" s="49"/>
      <c r="G18" s="63"/>
      <c r="H18" s="63"/>
      <c r="I18" s="63"/>
      <c r="J18" s="63"/>
      <c r="K18" s="78"/>
      <c r="L18" s="81"/>
      <c r="M18" s="81"/>
      <c r="N18" s="81"/>
      <c r="O18" s="81"/>
      <c r="P18" s="81"/>
      <c r="Q18" s="81"/>
      <c r="R18" s="81"/>
      <c r="S18" s="81"/>
      <c r="T18" s="81"/>
      <c r="U18" s="81"/>
      <c r="V18" s="81"/>
      <c r="W18" s="81"/>
      <c r="X18" s="81"/>
      <c r="Y18" s="81"/>
      <c r="Z18" s="81"/>
    </row>
    <row r="19" spans="2:176" ht="15.75" customHeight="1" x14ac:dyDescent="0.2">
      <c r="B19" s="49"/>
      <c r="C19" s="50"/>
      <c r="D19" s="50"/>
      <c r="E19" s="49"/>
      <c r="F19" s="49"/>
      <c r="G19" s="63"/>
      <c r="H19" s="63"/>
      <c r="I19" s="63"/>
      <c r="J19" s="63"/>
      <c r="K19" s="64" t="s">
        <v>40</v>
      </c>
      <c r="L19" s="81"/>
      <c r="M19" s="81"/>
      <c r="N19" s="81"/>
      <c r="O19" s="81"/>
      <c r="P19" s="81"/>
      <c r="Q19" s="81"/>
      <c r="R19" s="81"/>
      <c r="S19" s="81"/>
      <c r="T19" s="81"/>
      <c r="U19" s="81"/>
      <c r="V19" s="81"/>
      <c r="W19" s="81"/>
      <c r="X19" s="81"/>
      <c r="Y19" s="81"/>
      <c r="Z19" s="81"/>
    </row>
    <row r="20" spans="2:176" s="46" customFormat="1" ht="15.75" customHeight="1" x14ac:dyDescent="0.2">
      <c r="B20" s="49"/>
      <c r="C20" s="50"/>
      <c r="D20" s="50"/>
      <c r="E20" s="49"/>
      <c r="F20" s="49"/>
      <c r="G20" s="71"/>
      <c r="H20" s="71"/>
      <c r="I20" s="71"/>
      <c r="J20" s="71"/>
      <c r="K20" s="64" t="s">
        <v>40</v>
      </c>
      <c r="L20" s="85"/>
      <c r="M20" s="85"/>
      <c r="N20" s="85"/>
      <c r="O20" s="85"/>
      <c r="P20" s="85"/>
      <c r="Q20" s="85"/>
      <c r="R20" s="85"/>
      <c r="S20" s="85"/>
      <c r="T20" s="85"/>
      <c r="U20" s="85"/>
      <c r="V20" s="85"/>
      <c r="W20" s="85"/>
      <c r="X20" s="85"/>
      <c r="Y20" s="85"/>
      <c r="Z20" s="85"/>
      <c r="AP20" s="41"/>
      <c r="AQ20" s="41"/>
      <c r="AR20" s="41"/>
      <c r="AS20" s="41"/>
      <c r="AT20" s="41"/>
      <c r="BJ20" s="41"/>
      <c r="BK20" s="41"/>
      <c r="BL20" s="41"/>
      <c r="BM20" s="41"/>
      <c r="BN20" s="41"/>
      <c r="CD20" s="41"/>
      <c r="CE20" s="41"/>
      <c r="CF20" s="41"/>
      <c r="CG20" s="41"/>
      <c r="CH20" s="41"/>
      <c r="CI20" s="41"/>
      <c r="CJ20" s="41"/>
      <c r="CK20" s="41"/>
      <c r="CL20" s="41"/>
      <c r="CM20" s="41"/>
      <c r="CN20" s="41"/>
      <c r="CO20" s="41"/>
      <c r="CP20" s="41"/>
      <c r="CQ20" s="41"/>
      <c r="CR20" s="41"/>
      <c r="CS20" s="41"/>
      <c r="CT20" s="41"/>
      <c r="CU20" s="41"/>
      <c r="CV20" s="41"/>
      <c r="CW20" s="41"/>
      <c r="CX20" s="41"/>
      <c r="CY20" s="41"/>
      <c r="CZ20" s="41"/>
      <c r="DA20" s="41"/>
      <c r="DB20" s="41"/>
      <c r="DC20" s="41"/>
      <c r="DD20" s="41"/>
      <c r="DE20" s="41"/>
      <c r="DF20" s="41"/>
      <c r="DG20" s="41"/>
      <c r="DH20" s="41"/>
      <c r="DI20" s="41"/>
      <c r="DJ20" s="41"/>
      <c r="DK20" s="41"/>
      <c r="DL20" s="41"/>
      <c r="DM20" s="41"/>
      <c r="DN20" s="41"/>
      <c r="DO20" s="41"/>
      <c r="DP20" s="41"/>
      <c r="DQ20" s="41"/>
      <c r="DR20" s="41"/>
      <c r="DS20" s="41"/>
      <c r="DT20" s="41"/>
      <c r="DU20" s="41"/>
      <c r="DV20" s="41"/>
      <c r="DW20" s="41"/>
      <c r="DX20" s="41"/>
      <c r="DY20" s="41"/>
      <c r="DZ20" s="41"/>
      <c r="EA20" s="41"/>
      <c r="EB20" s="41"/>
      <c r="EC20" s="41"/>
      <c r="ED20" s="41"/>
      <c r="EE20" s="41"/>
      <c r="EF20" s="41"/>
      <c r="EG20" s="41"/>
      <c r="EH20" s="41"/>
      <c r="EI20" s="41"/>
      <c r="EJ20" s="41"/>
      <c r="EK20" s="41"/>
      <c r="EL20" s="41"/>
      <c r="EM20" s="41"/>
      <c r="EN20" s="41"/>
      <c r="EO20" s="41"/>
      <c r="EP20" s="41"/>
      <c r="EQ20" s="41"/>
      <c r="ER20" s="41"/>
      <c r="ES20" s="41"/>
      <c r="ET20" s="41"/>
      <c r="EU20" s="41"/>
      <c r="EV20" s="41"/>
      <c r="EW20" s="41"/>
      <c r="EX20" s="41"/>
      <c r="EY20" s="41"/>
      <c r="EZ20" s="41"/>
      <c r="FA20" s="41"/>
      <c r="FB20" s="41"/>
      <c r="FC20" s="41"/>
      <c r="FD20" s="41"/>
      <c r="FE20" s="41"/>
      <c r="FF20" s="41"/>
      <c r="FG20" s="41"/>
      <c r="FH20" s="41"/>
      <c r="FI20" s="41"/>
      <c r="FJ20" s="41"/>
      <c r="FK20" s="41"/>
      <c r="FL20" s="41"/>
      <c r="FM20" s="41"/>
      <c r="FN20" s="41"/>
      <c r="FO20" s="41"/>
      <c r="FP20" s="41"/>
      <c r="FQ20" s="41"/>
      <c r="FR20" s="41"/>
      <c r="FS20" s="41"/>
      <c r="FT20" s="41"/>
    </row>
    <row r="21" spans="2:176" s="46" customFormat="1" ht="15.75" customHeight="1" x14ac:dyDescent="0.2">
      <c r="B21" s="49"/>
      <c r="C21" s="50"/>
      <c r="D21" s="50"/>
      <c r="E21" s="49"/>
      <c r="F21" s="49"/>
      <c r="G21" s="63"/>
      <c r="H21" s="63"/>
      <c r="I21" s="63"/>
      <c r="J21" s="63"/>
      <c r="K21" s="64" t="s">
        <v>40</v>
      </c>
      <c r="L21" s="81"/>
      <c r="M21" s="81"/>
      <c r="N21" s="81"/>
      <c r="O21" s="81"/>
      <c r="P21" s="81"/>
      <c r="Q21" s="81"/>
      <c r="R21" s="81"/>
      <c r="S21" s="81"/>
      <c r="T21" s="81"/>
      <c r="U21" s="81"/>
      <c r="V21" s="81"/>
      <c r="W21" s="81"/>
      <c r="X21" s="81"/>
      <c r="Y21" s="81"/>
      <c r="Z21" s="81"/>
      <c r="AP21" s="41"/>
      <c r="AQ21" s="41"/>
      <c r="AR21" s="41"/>
      <c r="AS21" s="41"/>
      <c r="AT21" s="41"/>
      <c r="BJ21" s="41"/>
      <c r="BK21" s="41"/>
      <c r="BL21" s="41"/>
      <c r="BM21" s="41"/>
      <c r="BN21" s="41"/>
      <c r="CD21" s="41"/>
      <c r="CE21" s="41"/>
      <c r="CF21" s="41"/>
      <c r="CG21" s="41"/>
      <c r="CH21" s="41"/>
      <c r="CI21" s="41"/>
      <c r="CJ21" s="41"/>
      <c r="CK21" s="41"/>
      <c r="CL21" s="41"/>
      <c r="CM21" s="41"/>
      <c r="CN21" s="41"/>
      <c r="CO21" s="41"/>
      <c r="CP21" s="41"/>
      <c r="CQ21" s="41"/>
      <c r="CR21" s="41"/>
      <c r="CS21" s="41"/>
      <c r="CT21" s="41"/>
      <c r="CU21" s="41"/>
      <c r="CV21" s="41"/>
      <c r="CW21" s="41"/>
      <c r="CX21" s="41"/>
      <c r="CY21" s="41"/>
      <c r="CZ21" s="41"/>
      <c r="DA21" s="41"/>
      <c r="DB21" s="41"/>
      <c r="DC21" s="41"/>
      <c r="DD21" s="41"/>
      <c r="DE21" s="41"/>
      <c r="DF21" s="41"/>
      <c r="DG21" s="41"/>
      <c r="DH21" s="41"/>
      <c r="DI21" s="41"/>
      <c r="DJ21" s="41"/>
      <c r="DK21" s="41"/>
      <c r="DL21" s="41"/>
      <c r="DM21" s="41"/>
      <c r="DN21" s="41"/>
      <c r="DO21" s="41"/>
      <c r="DP21" s="41"/>
      <c r="DQ21" s="41"/>
      <c r="DR21" s="41"/>
      <c r="DS21" s="41"/>
      <c r="DT21" s="41"/>
      <c r="DU21" s="41"/>
      <c r="DV21" s="41"/>
      <c r="DW21" s="41"/>
      <c r="DX21" s="41"/>
      <c r="DY21" s="41"/>
      <c r="DZ21" s="41"/>
      <c r="EA21" s="41"/>
      <c r="EB21" s="41"/>
      <c r="EC21" s="41"/>
      <c r="ED21" s="41"/>
      <c r="EE21" s="41"/>
      <c r="EF21" s="41"/>
      <c r="EG21" s="41"/>
      <c r="EH21" s="41"/>
      <c r="EI21" s="41"/>
      <c r="EJ21" s="41"/>
      <c r="EK21" s="41"/>
      <c r="EL21" s="41"/>
      <c r="EM21" s="41"/>
      <c r="EN21" s="41"/>
      <c r="EO21" s="41"/>
      <c r="EP21" s="41"/>
      <c r="EQ21" s="41"/>
      <c r="ER21" s="41"/>
      <c r="ES21" s="41"/>
      <c r="ET21" s="41"/>
      <c r="EU21" s="41"/>
      <c r="EV21" s="41"/>
      <c r="EW21" s="41"/>
      <c r="EX21" s="41"/>
      <c r="EY21" s="41"/>
      <c r="EZ21" s="41"/>
      <c r="FA21" s="41"/>
      <c r="FB21" s="41"/>
      <c r="FC21" s="41"/>
      <c r="FD21" s="41"/>
      <c r="FE21" s="41"/>
      <c r="FF21" s="41"/>
      <c r="FG21" s="41"/>
      <c r="FH21" s="41"/>
      <c r="FI21" s="41"/>
      <c r="FJ21" s="41"/>
      <c r="FK21" s="41"/>
      <c r="FL21" s="41"/>
      <c r="FM21" s="41"/>
      <c r="FN21" s="41"/>
      <c r="FO21" s="41"/>
      <c r="FP21" s="41"/>
      <c r="FQ21" s="41"/>
      <c r="FR21" s="41"/>
      <c r="FS21" s="41"/>
      <c r="FT21" s="41"/>
    </row>
    <row r="22" spans="2:176" s="46" customFormat="1" ht="15.75" customHeight="1" x14ac:dyDescent="0.2">
      <c r="B22" s="44"/>
      <c r="C22" s="43"/>
      <c r="D22" s="43"/>
      <c r="E22" s="44"/>
      <c r="F22" s="44"/>
      <c r="G22" s="44"/>
      <c r="H22" s="44"/>
      <c r="I22" s="44"/>
      <c r="J22" s="44"/>
      <c r="K22" s="64" t="s">
        <v>40</v>
      </c>
      <c r="L22" s="44"/>
      <c r="M22" s="44"/>
      <c r="N22" s="44"/>
      <c r="O22" s="44"/>
      <c r="P22" s="44"/>
      <c r="Q22" s="44"/>
      <c r="R22" s="44"/>
      <c r="S22" s="44"/>
      <c r="T22" s="44"/>
      <c r="U22" s="44"/>
      <c r="V22" s="44"/>
      <c r="W22" s="44"/>
      <c r="X22" s="44"/>
      <c r="Y22" s="45"/>
      <c r="Z22" s="44"/>
      <c r="AP22" s="41"/>
      <c r="AQ22" s="41"/>
      <c r="AR22" s="41"/>
      <c r="AS22" s="41"/>
      <c r="AT22" s="41"/>
      <c r="BJ22" s="41"/>
      <c r="BK22" s="41"/>
      <c r="BL22" s="41"/>
      <c r="BM22" s="41"/>
      <c r="BN22" s="41"/>
      <c r="CD22" s="41"/>
      <c r="CE22" s="41"/>
      <c r="CF22" s="41"/>
      <c r="CG22" s="41"/>
      <c r="CH22" s="41"/>
      <c r="CI22" s="41"/>
      <c r="CJ22" s="41"/>
      <c r="CK22" s="41"/>
      <c r="CL22" s="41"/>
      <c r="CM22" s="41"/>
      <c r="CN22" s="41"/>
      <c r="CO22" s="41"/>
      <c r="CP22" s="41"/>
      <c r="CQ22" s="41"/>
      <c r="CR22" s="41"/>
      <c r="CS22" s="41"/>
      <c r="CT22" s="41"/>
      <c r="CU22" s="41"/>
      <c r="CV22" s="41"/>
      <c r="CW22" s="41"/>
      <c r="CX22" s="41"/>
      <c r="CY22" s="41"/>
      <c r="CZ22" s="41"/>
      <c r="DA22" s="41"/>
      <c r="DB22" s="41"/>
      <c r="DC22" s="41"/>
      <c r="DD22" s="41"/>
      <c r="DE22" s="41"/>
      <c r="DF22" s="41"/>
      <c r="DG22" s="41"/>
      <c r="DH22" s="41"/>
      <c r="DI22" s="41"/>
      <c r="DJ22" s="41"/>
      <c r="DK22" s="41"/>
      <c r="DL22" s="41"/>
      <c r="DM22" s="41"/>
      <c r="DN22" s="41"/>
      <c r="DO22" s="41"/>
      <c r="DP22" s="41"/>
      <c r="DQ22" s="41"/>
      <c r="DR22" s="41"/>
      <c r="DS22" s="41"/>
      <c r="DT22" s="41"/>
      <c r="DU22" s="41"/>
      <c r="DV22" s="41"/>
      <c r="DW22" s="41"/>
      <c r="DX22" s="41"/>
      <c r="DY22" s="41"/>
      <c r="DZ22" s="41"/>
      <c r="EA22" s="41"/>
      <c r="EB22" s="41"/>
      <c r="EC22" s="41"/>
      <c r="ED22" s="41"/>
      <c r="EE22" s="41"/>
      <c r="EF22" s="41"/>
      <c r="EG22" s="41"/>
      <c r="EH22" s="41"/>
      <c r="EI22" s="41"/>
      <c r="EJ22" s="41"/>
      <c r="EK22" s="41"/>
      <c r="EL22" s="41"/>
      <c r="EM22" s="41"/>
      <c r="EN22" s="41"/>
      <c r="EO22" s="41"/>
      <c r="EP22" s="41"/>
      <c r="EQ22" s="41"/>
      <c r="ER22" s="41"/>
      <c r="ES22" s="41"/>
      <c r="ET22" s="41"/>
      <c r="EU22" s="41"/>
      <c r="EV22" s="41"/>
      <c r="EW22" s="41"/>
      <c r="EX22" s="41"/>
      <c r="EY22" s="41"/>
      <c r="EZ22" s="41"/>
      <c r="FA22" s="41"/>
      <c r="FB22" s="41"/>
      <c r="FC22" s="41"/>
      <c r="FD22" s="41"/>
      <c r="FE22" s="41"/>
      <c r="FF22" s="41"/>
      <c r="FG22" s="41"/>
      <c r="FH22" s="41"/>
      <c r="FI22" s="41"/>
      <c r="FJ22" s="41"/>
      <c r="FK22" s="41"/>
      <c r="FL22" s="41"/>
      <c r="FM22" s="41"/>
      <c r="FN22" s="41"/>
      <c r="FO22" s="41"/>
      <c r="FP22" s="41"/>
      <c r="FQ22" s="41"/>
      <c r="FR22" s="41"/>
      <c r="FS22" s="41"/>
      <c r="FT22" s="41"/>
    </row>
    <row r="23" spans="2:176" s="46" customFormat="1" ht="15.75" customHeight="1" x14ac:dyDescent="0.2">
      <c r="B23" s="44"/>
      <c r="C23" s="43"/>
      <c r="D23" s="43"/>
      <c r="E23" s="44"/>
      <c r="F23" s="44"/>
      <c r="G23" s="44"/>
      <c r="H23" s="44"/>
      <c r="I23" s="44"/>
      <c r="J23" s="44"/>
      <c r="K23" s="64" t="s">
        <v>40</v>
      </c>
      <c r="L23" s="44"/>
      <c r="M23" s="44"/>
      <c r="N23" s="44"/>
      <c r="O23" s="44"/>
      <c r="P23" s="44"/>
      <c r="Q23" s="44"/>
      <c r="R23" s="44"/>
      <c r="S23" s="44"/>
      <c r="T23" s="44"/>
      <c r="U23" s="44"/>
      <c r="V23" s="44"/>
      <c r="W23" s="44"/>
      <c r="X23" s="44"/>
      <c r="Y23" s="45"/>
      <c r="Z23" s="44"/>
      <c r="AP23" s="41"/>
      <c r="AQ23" s="41"/>
      <c r="AR23" s="41"/>
      <c r="AS23" s="41"/>
      <c r="AT23" s="41"/>
      <c r="BJ23" s="41"/>
      <c r="BK23" s="41"/>
      <c r="BL23" s="41"/>
      <c r="BM23" s="41"/>
      <c r="BN23" s="41"/>
      <c r="CD23" s="41"/>
      <c r="CE23" s="41"/>
      <c r="CF23" s="41"/>
      <c r="CG23" s="41"/>
      <c r="CH23" s="41"/>
      <c r="CI23" s="41"/>
      <c r="CJ23" s="41"/>
      <c r="CK23" s="41"/>
      <c r="CL23" s="41"/>
      <c r="CM23" s="41"/>
      <c r="CN23" s="41"/>
      <c r="CO23" s="41"/>
      <c r="CP23" s="41"/>
      <c r="CQ23" s="41"/>
      <c r="CR23" s="41"/>
      <c r="CS23" s="41"/>
      <c r="CT23" s="41"/>
      <c r="CU23" s="41"/>
      <c r="CV23" s="41"/>
      <c r="CW23" s="41"/>
      <c r="CX23" s="41"/>
      <c r="CY23" s="41"/>
      <c r="CZ23" s="41"/>
      <c r="DA23" s="41"/>
      <c r="DB23" s="41"/>
      <c r="DC23" s="41"/>
      <c r="DD23" s="41"/>
      <c r="DE23" s="41"/>
      <c r="DF23" s="41"/>
      <c r="DG23" s="41"/>
      <c r="DH23" s="41"/>
      <c r="DI23" s="41"/>
      <c r="DJ23" s="41"/>
      <c r="DK23" s="41"/>
      <c r="DL23" s="41"/>
      <c r="DM23" s="41"/>
      <c r="DN23" s="41"/>
      <c r="DO23" s="41"/>
      <c r="DP23" s="41"/>
      <c r="DQ23" s="41"/>
      <c r="DR23" s="41"/>
      <c r="DS23" s="41"/>
      <c r="DT23" s="41"/>
      <c r="DU23" s="41"/>
      <c r="DV23" s="41"/>
      <c r="DW23" s="41"/>
      <c r="DX23" s="41"/>
      <c r="DY23" s="41"/>
      <c r="DZ23" s="41"/>
      <c r="EA23" s="41"/>
      <c r="EB23" s="41"/>
      <c r="EC23" s="41"/>
      <c r="ED23" s="41"/>
      <c r="EE23" s="41"/>
      <c r="EF23" s="41"/>
      <c r="EG23" s="41"/>
      <c r="EH23" s="41"/>
      <c r="EI23" s="41"/>
      <c r="EJ23" s="41"/>
      <c r="EK23" s="41"/>
      <c r="EL23" s="41"/>
      <c r="EM23" s="41"/>
      <c r="EN23" s="41"/>
      <c r="EO23" s="41"/>
      <c r="EP23" s="41"/>
      <c r="EQ23" s="41"/>
      <c r="ER23" s="41"/>
      <c r="ES23" s="41"/>
      <c r="ET23" s="41"/>
      <c r="EU23" s="41"/>
      <c r="EV23" s="41"/>
      <c r="EW23" s="41"/>
      <c r="EX23" s="41"/>
      <c r="EY23" s="41"/>
      <c r="EZ23" s="41"/>
      <c r="FA23" s="41"/>
      <c r="FB23" s="41"/>
      <c r="FC23" s="41"/>
      <c r="FD23" s="41"/>
      <c r="FE23" s="41"/>
      <c r="FF23" s="41"/>
      <c r="FG23" s="41"/>
      <c r="FH23" s="41"/>
      <c r="FI23" s="41"/>
      <c r="FJ23" s="41"/>
      <c r="FK23" s="41"/>
      <c r="FL23" s="41"/>
      <c r="FM23" s="41"/>
      <c r="FN23" s="41"/>
      <c r="FO23" s="41"/>
      <c r="FP23" s="41"/>
      <c r="FQ23" s="41"/>
      <c r="FR23" s="41"/>
      <c r="FS23" s="41"/>
      <c r="FT23" s="41"/>
    </row>
    <row r="24" spans="2:176" s="46" customFormat="1" ht="15.75" customHeight="1" x14ac:dyDescent="0.2">
      <c r="B24" s="44"/>
      <c r="C24" s="43"/>
      <c r="D24" s="43"/>
      <c r="E24" s="44"/>
      <c r="F24" s="44"/>
      <c r="G24" s="44"/>
      <c r="H24" s="44"/>
      <c r="I24" s="44"/>
      <c r="J24" s="44"/>
      <c r="K24" s="78" t="s">
        <v>40</v>
      </c>
      <c r="L24" s="44"/>
      <c r="M24" s="44"/>
      <c r="N24" s="44"/>
      <c r="O24" s="44"/>
      <c r="P24" s="44"/>
      <c r="Q24" s="44"/>
      <c r="R24" s="44"/>
      <c r="S24" s="44"/>
      <c r="T24" s="44"/>
      <c r="U24" s="44"/>
      <c r="V24" s="44"/>
      <c r="W24" s="44"/>
      <c r="X24" s="44"/>
      <c r="Y24" s="45"/>
      <c r="Z24" s="44"/>
      <c r="AP24" s="41"/>
      <c r="AQ24" s="41"/>
      <c r="AR24" s="41"/>
      <c r="AS24" s="41"/>
      <c r="AT24" s="41"/>
      <c r="BJ24" s="41"/>
      <c r="BK24" s="41"/>
      <c r="BL24" s="41"/>
      <c r="BM24" s="41"/>
      <c r="BN24" s="41"/>
      <c r="CD24" s="41"/>
      <c r="CE24" s="41"/>
      <c r="CF24" s="41"/>
      <c r="CG24" s="41"/>
      <c r="CH24" s="41"/>
      <c r="CI24" s="41"/>
      <c r="CJ24" s="41"/>
      <c r="CK24" s="41"/>
      <c r="CL24" s="41"/>
      <c r="CM24" s="41"/>
      <c r="CN24" s="41"/>
      <c r="CO24" s="41"/>
      <c r="CP24" s="41"/>
      <c r="CQ24" s="41"/>
      <c r="CR24" s="41"/>
      <c r="CS24" s="41"/>
      <c r="CT24" s="41"/>
      <c r="CU24" s="41"/>
      <c r="CV24" s="41"/>
      <c r="CW24" s="41"/>
      <c r="CX24" s="41"/>
      <c r="CY24" s="41"/>
      <c r="CZ24" s="41"/>
      <c r="DA24" s="41"/>
      <c r="DB24" s="41"/>
      <c r="DC24" s="41"/>
      <c r="DD24" s="41"/>
      <c r="DE24" s="41"/>
      <c r="DF24" s="41"/>
      <c r="DG24" s="41"/>
      <c r="DH24" s="41"/>
      <c r="DI24" s="41"/>
      <c r="DJ24" s="41"/>
      <c r="DK24" s="41"/>
      <c r="DL24" s="41"/>
      <c r="DM24" s="41"/>
      <c r="DN24" s="41"/>
      <c r="DO24" s="41"/>
      <c r="DP24" s="41"/>
      <c r="DQ24" s="41"/>
      <c r="DR24" s="41"/>
      <c r="DS24" s="41"/>
      <c r="DT24" s="41"/>
      <c r="DU24" s="41"/>
      <c r="DV24" s="41"/>
      <c r="DW24" s="41"/>
      <c r="DX24" s="41"/>
      <c r="DY24" s="41"/>
      <c r="DZ24" s="41"/>
      <c r="EA24" s="41"/>
      <c r="EB24" s="41"/>
      <c r="EC24" s="41"/>
      <c r="ED24" s="41"/>
      <c r="EE24" s="41"/>
      <c r="EF24" s="41"/>
      <c r="EG24" s="41"/>
      <c r="EH24" s="41"/>
      <c r="EI24" s="41"/>
      <c r="EJ24" s="41"/>
      <c r="EK24" s="41"/>
      <c r="EL24" s="41"/>
      <c r="EM24" s="41"/>
      <c r="EN24" s="41"/>
      <c r="EO24" s="41"/>
      <c r="EP24" s="41"/>
      <c r="EQ24" s="41"/>
      <c r="ER24" s="41"/>
      <c r="ES24" s="41"/>
      <c r="ET24" s="41"/>
      <c r="EU24" s="41"/>
      <c r="EV24" s="41"/>
      <c r="EW24" s="41"/>
      <c r="EX24" s="41"/>
      <c r="EY24" s="41"/>
      <c r="EZ24" s="41"/>
      <c r="FA24" s="41"/>
      <c r="FB24" s="41"/>
      <c r="FC24" s="41"/>
      <c r="FD24" s="41"/>
      <c r="FE24" s="41"/>
      <c r="FF24" s="41"/>
      <c r="FG24" s="41"/>
      <c r="FH24" s="41"/>
      <c r="FI24" s="41"/>
      <c r="FJ24" s="41"/>
      <c r="FK24" s="41"/>
      <c r="FL24" s="41"/>
      <c r="FM24" s="41"/>
      <c r="FN24" s="41"/>
      <c r="FO24" s="41"/>
      <c r="FP24" s="41"/>
      <c r="FQ24" s="41"/>
      <c r="FR24" s="41"/>
      <c r="FS24" s="41"/>
      <c r="FT24" s="41"/>
    </row>
    <row r="25" spans="2:176" s="46" customFormat="1" ht="15.75" customHeight="1" x14ac:dyDescent="0.2">
      <c r="B25" s="44"/>
      <c r="C25" s="43"/>
      <c r="D25" s="43"/>
      <c r="E25" s="44"/>
      <c r="F25" s="44"/>
      <c r="G25" s="44"/>
      <c r="H25" s="44"/>
      <c r="I25" s="44"/>
      <c r="J25" s="44"/>
      <c r="K25" s="64" t="s">
        <v>40</v>
      </c>
      <c r="L25" s="44"/>
      <c r="M25" s="44"/>
      <c r="N25" s="44"/>
      <c r="O25" s="44"/>
      <c r="P25" s="44"/>
      <c r="Q25" s="44"/>
      <c r="R25" s="44"/>
      <c r="S25" s="44"/>
      <c r="T25" s="44"/>
      <c r="U25" s="44"/>
      <c r="V25" s="44"/>
      <c r="W25" s="44"/>
      <c r="X25" s="44"/>
      <c r="Y25" s="45"/>
      <c r="Z25" s="44"/>
      <c r="AP25" s="41"/>
      <c r="AQ25" s="41"/>
      <c r="AR25" s="41"/>
      <c r="AS25" s="41"/>
      <c r="AT25" s="41"/>
      <c r="BJ25" s="41"/>
      <c r="BK25" s="41"/>
      <c r="BL25" s="41"/>
      <c r="BM25" s="41"/>
      <c r="BN25" s="41"/>
      <c r="CD25" s="41"/>
      <c r="CE25" s="41"/>
      <c r="CF25" s="41"/>
      <c r="CG25" s="41"/>
      <c r="CH25" s="41"/>
      <c r="CI25" s="41"/>
      <c r="CJ25" s="41"/>
      <c r="CK25" s="41"/>
      <c r="CL25" s="41"/>
      <c r="CM25" s="41"/>
      <c r="CN25" s="41"/>
      <c r="CO25" s="41"/>
      <c r="CP25" s="41"/>
      <c r="CQ25" s="41"/>
      <c r="CR25" s="41"/>
      <c r="CS25" s="41"/>
      <c r="CT25" s="41"/>
      <c r="CU25" s="41"/>
      <c r="CV25" s="41"/>
      <c r="CW25" s="41"/>
      <c r="CX25" s="41"/>
      <c r="CY25" s="41"/>
      <c r="CZ25" s="41"/>
      <c r="DA25" s="41"/>
      <c r="DB25" s="41"/>
      <c r="DC25" s="41"/>
      <c r="DD25" s="41"/>
      <c r="DE25" s="41"/>
      <c r="DF25" s="41"/>
      <c r="DG25" s="41"/>
      <c r="DH25" s="41"/>
      <c r="DI25" s="41"/>
      <c r="DJ25" s="41"/>
      <c r="DK25" s="41"/>
      <c r="DL25" s="41"/>
      <c r="DM25" s="41"/>
      <c r="DN25" s="41"/>
      <c r="DO25" s="41"/>
      <c r="DP25" s="41"/>
      <c r="DQ25" s="41"/>
      <c r="DR25" s="41"/>
      <c r="DS25" s="41"/>
      <c r="DT25" s="41"/>
      <c r="DU25" s="41"/>
      <c r="DV25" s="41"/>
      <c r="DW25" s="41"/>
      <c r="DX25" s="41"/>
      <c r="DY25" s="41"/>
      <c r="DZ25" s="41"/>
      <c r="EA25" s="41"/>
      <c r="EB25" s="41"/>
      <c r="EC25" s="41"/>
      <c r="ED25" s="41"/>
      <c r="EE25" s="41"/>
      <c r="EF25" s="41"/>
      <c r="EG25" s="41"/>
      <c r="EH25" s="41"/>
      <c r="EI25" s="41"/>
      <c r="EJ25" s="41"/>
      <c r="EK25" s="41"/>
      <c r="EL25" s="41"/>
      <c r="EM25" s="41"/>
      <c r="EN25" s="41"/>
      <c r="EO25" s="41"/>
      <c r="EP25" s="41"/>
      <c r="EQ25" s="41"/>
      <c r="ER25" s="41"/>
      <c r="ES25" s="41"/>
      <c r="ET25" s="41"/>
      <c r="EU25" s="41"/>
      <c r="EV25" s="41"/>
      <c r="EW25" s="41"/>
      <c r="EX25" s="41"/>
      <c r="EY25" s="41"/>
      <c r="EZ25" s="41"/>
      <c r="FA25" s="41"/>
      <c r="FB25" s="41"/>
      <c r="FC25" s="41"/>
      <c r="FD25" s="41"/>
      <c r="FE25" s="41"/>
      <c r="FF25" s="41"/>
      <c r="FG25" s="41"/>
      <c r="FH25" s="41"/>
      <c r="FI25" s="41"/>
      <c r="FJ25" s="41"/>
      <c r="FK25" s="41"/>
      <c r="FL25" s="41"/>
      <c r="FM25" s="41"/>
      <c r="FN25" s="41"/>
      <c r="FO25" s="41"/>
      <c r="FP25" s="41"/>
      <c r="FQ25" s="41"/>
      <c r="FR25" s="41"/>
      <c r="FS25" s="41"/>
      <c r="FT25" s="41"/>
    </row>
    <row r="26" spans="2:176" s="46" customFormat="1" ht="15.75" customHeight="1" x14ac:dyDescent="0.2">
      <c r="B26" s="44"/>
      <c r="C26" s="43"/>
      <c r="D26" s="43"/>
      <c r="E26" s="44"/>
      <c r="F26" s="44"/>
      <c r="G26" s="44"/>
      <c r="H26" s="44"/>
      <c r="I26" s="44"/>
      <c r="J26" s="44"/>
      <c r="K26" s="64" t="s">
        <v>40</v>
      </c>
      <c r="L26" s="44"/>
      <c r="M26" s="44"/>
      <c r="N26" s="44"/>
      <c r="O26" s="44"/>
      <c r="P26" s="44"/>
      <c r="Q26" s="44"/>
      <c r="R26" s="44"/>
      <c r="S26" s="44"/>
      <c r="T26" s="44"/>
      <c r="U26" s="44"/>
      <c r="V26" s="44"/>
      <c r="W26" s="44"/>
      <c r="X26" s="44"/>
      <c r="Y26" s="45"/>
      <c r="Z26" s="44"/>
      <c r="AP26" s="41"/>
      <c r="AQ26" s="41"/>
      <c r="AR26" s="41"/>
      <c r="AS26" s="41"/>
      <c r="AT26" s="41"/>
      <c r="BJ26" s="41"/>
      <c r="BK26" s="41"/>
      <c r="BL26" s="41"/>
      <c r="BM26" s="41"/>
      <c r="BN26" s="41"/>
      <c r="CD26" s="41"/>
      <c r="CE26" s="41"/>
      <c r="CF26" s="41"/>
      <c r="CG26" s="41"/>
      <c r="CH26" s="41"/>
      <c r="CI26" s="41"/>
      <c r="CJ26" s="41"/>
      <c r="CK26" s="41"/>
      <c r="CL26" s="41"/>
      <c r="CM26" s="41"/>
      <c r="CN26" s="41"/>
      <c r="CO26" s="41"/>
      <c r="CP26" s="41"/>
      <c r="CQ26" s="41"/>
      <c r="CR26" s="41"/>
      <c r="CS26" s="41"/>
      <c r="CT26" s="41"/>
      <c r="CU26" s="41"/>
      <c r="CV26" s="41"/>
      <c r="CW26" s="41"/>
      <c r="CX26" s="41"/>
      <c r="CY26" s="41"/>
      <c r="CZ26" s="41"/>
      <c r="DA26" s="41"/>
      <c r="DB26" s="41"/>
      <c r="DC26" s="41"/>
      <c r="DD26" s="41"/>
      <c r="DE26" s="41"/>
      <c r="DF26" s="41"/>
      <c r="DG26" s="41"/>
      <c r="DH26" s="41"/>
      <c r="DI26" s="41"/>
      <c r="DJ26" s="41"/>
      <c r="DK26" s="41"/>
      <c r="DL26" s="41"/>
      <c r="DM26" s="41"/>
      <c r="DN26" s="41"/>
      <c r="DO26" s="41"/>
      <c r="DP26" s="41"/>
      <c r="DQ26" s="41"/>
      <c r="DR26" s="41"/>
      <c r="DS26" s="41"/>
      <c r="DT26" s="41"/>
      <c r="DU26" s="41"/>
      <c r="DV26" s="41"/>
      <c r="DW26" s="41"/>
      <c r="DX26" s="41"/>
      <c r="DY26" s="41"/>
      <c r="DZ26" s="41"/>
      <c r="EA26" s="41"/>
      <c r="EB26" s="41"/>
      <c r="EC26" s="41"/>
      <c r="ED26" s="41"/>
      <c r="EE26" s="41"/>
      <c r="EF26" s="41"/>
      <c r="EG26" s="41"/>
      <c r="EH26" s="41"/>
      <c r="EI26" s="41"/>
      <c r="EJ26" s="41"/>
      <c r="EK26" s="41"/>
      <c r="EL26" s="41"/>
      <c r="EM26" s="41"/>
      <c r="EN26" s="41"/>
      <c r="EO26" s="41"/>
      <c r="EP26" s="41"/>
      <c r="EQ26" s="41"/>
      <c r="ER26" s="41"/>
      <c r="ES26" s="41"/>
      <c r="ET26" s="41"/>
      <c r="EU26" s="41"/>
      <c r="EV26" s="41"/>
      <c r="EW26" s="41"/>
      <c r="EX26" s="41"/>
      <c r="EY26" s="41"/>
      <c r="EZ26" s="41"/>
      <c r="FA26" s="41"/>
      <c r="FB26" s="41"/>
      <c r="FC26" s="41"/>
      <c r="FD26" s="41"/>
      <c r="FE26" s="41"/>
      <c r="FF26" s="41"/>
      <c r="FG26" s="41"/>
      <c r="FH26" s="41"/>
      <c r="FI26" s="41"/>
      <c r="FJ26" s="41"/>
      <c r="FK26" s="41"/>
      <c r="FL26" s="41"/>
      <c r="FM26" s="41"/>
      <c r="FN26" s="41"/>
      <c r="FO26" s="41"/>
      <c r="FP26" s="41"/>
      <c r="FQ26" s="41"/>
      <c r="FR26" s="41"/>
      <c r="FS26" s="41"/>
      <c r="FT26" s="41"/>
    </row>
    <row r="27" spans="2:176" s="46" customFormat="1" ht="15.75" customHeight="1" x14ac:dyDescent="0.2">
      <c r="B27" s="44"/>
      <c r="C27" s="43"/>
      <c r="D27" s="43"/>
      <c r="E27" s="44"/>
      <c r="F27" s="44"/>
      <c r="G27" s="44"/>
      <c r="H27" s="44"/>
      <c r="I27" s="44"/>
      <c r="J27" s="44"/>
      <c r="K27" s="64" t="s">
        <v>40</v>
      </c>
      <c r="L27" s="44"/>
      <c r="M27" s="44"/>
      <c r="N27" s="44"/>
      <c r="O27" s="44"/>
      <c r="P27" s="44"/>
      <c r="Q27" s="44"/>
      <c r="R27" s="44"/>
      <c r="S27" s="44"/>
      <c r="T27" s="44"/>
      <c r="U27" s="44"/>
      <c r="V27" s="44"/>
      <c r="W27" s="44"/>
      <c r="X27" s="44"/>
      <c r="Y27" s="45"/>
      <c r="Z27" s="44"/>
      <c r="AP27" s="41"/>
      <c r="AQ27" s="41"/>
      <c r="AR27" s="41"/>
      <c r="AS27" s="41"/>
      <c r="AT27" s="41"/>
      <c r="BJ27" s="41"/>
      <c r="BK27" s="41"/>
      <c r="BL27" s="41"/>
      <c r="BM27" s="41"/>
      <c r="BN27" s="41"/>
      <c r="CD27" s="41"/>
      <c r="CE27" s="41"/>
      <c r="CF27" s="41"/>
      <c r="CG27" s="41"/>
      <c r="CH27" s="41"/>
      <c r="CI27" s="41"/>
      <c r="CJ27" s="41"/>
      <c r="CK27" s="41"/>
      <c r="CL27" s="41"/>
      <c r="CM27" s="41"/>
      <c r="CN27" s="41"/>
      <c r="CO27" s="41"/>
      <c r="CP27" s="41"/>
      <c r="CQ27" s="41"/>
      <c r="CR27" s="41"/>
      <c r="CS27" s="41"/>
      <c r="CT27" s="41"/>
      <c r="CU27" s="41"/>
      <c r="CV27" s="41"/>
      <c r="CW27" s="41"/>
      <c r="CX27" s="41"/>
      <c r="CY27" s="41"/>
      <c r="CZ27" s="41"/>
      <c r="DA27" s="41"/>
      <c r="DB27" s="41"/>
      <c r="DC27" s="41"/>
      <c r="DD27" s="41"/>
      <c r="DE27" s="41"/>
      <c r="DF27" s="41"/>
      <c r="DG27" s="41"/>
      <c r="DH27" s="41"/>
      <c r="DI27" s="41"/>
      <c r="DJ27" s="41"/>
      <c r="DK27" s="41"/>
      <c r="DL27" s="41"/>
      <c r="DM27" s="41"/>
      <c r="DN27" s="41"/>
      <c r="DO27" s="41"/>
      <c r="DP27" s="41"/>
      <c r="DQ27" s="41"/>
      <c r="DR27" s="41"/>
      <c r="DS27" s="41"/>
      <c r="DT27" s="41"/>
      <c r="DU27" s="41"/>
      <c r="DV27" s="41"/>
      <c r="DW27" s="41"/>
      <c r="DX27" s="41"/>
      <c r="DY27" s="41"/>
      <c r="DZ27" s="41"/>
      <c r="EA27" s="41"/>
      <c r="EB27" s="41"/>
      <c r="EC27" s="41"/>
      <c r="ED27" s="41"/>
      <c r="EE27" s="41"/>
      <c r="EF27" s="41"/>
      <c r="EG27" s="41"/>
      <c r="EH27" s="41"/>
      <c r="EI27" s="41"/>
      <c r="EJ27" s="41"/>
      <c r="EK27" s="41"/>
      <c r="EL27" s="41"/>
      <c r="EM27" s="41"/>
      <c r="EN27" s="41"/>
      <c r="EO27" s="41"/>
      <c r="EP27" s="41"/>
      <c r="EQ27" s="41"/>
      <c r="ER27" s="41"/>
      <c r="ES27" s="41"/>
      <c r="ET27" s="41"/>
      <c r="EU27" s="41"/>
      <c r="EV27" s="41"/>
      <c r="EW27" s="41"/>
      <c r="EX27" s="41"/>
      <c r="EY27" s="41"/>
      <c r="EZ27" s="41"/>
      <c r="FA27" s="41"/>
      <c r="FB27" s="41"/>
      <c r="FC27" s="41"/>
      <c r="FD27" s="41"/>
      <c r="FE27" s="41"/>
      <c r="FF27" s="41"/>
      <c r="FG27" s="41"/>
      <c r="FH27" s="41"/>
      <c r="FI27" s="41"/>
      <c r="FJ27" s="41"/>
      <c r="FK27" s="41"/>
      <c r="FL27" s="41"/>
      <c r="FM27" s="41"/>
      <c r="FN27" s="41"/>
      <c r="FO27" s="41"/>
      <c r="FP27" s="41"/>
      <c r="FQ27" s="41"/>
      <c r="FR27" s="41"/>
      <c r="FS27" s="41"/>
      <c r="FT27" s="41"/>
    </row>
    <row r="28" spans="2:176" s="46" customFormat="1" ht="15.75" customHeight="1" x14ac:dyDescent="0.2">
      <c r="B28" s="43"/>
      <c r="C28" s="43"/>
      <c r="D28" s="43"/>
      <c r="E28" s="43"/>
      <c r="F28" s="43"/>
      <c r="G28" s="44"/>
      <c r="H28" s="44"/>
      <c r="I28" s="44"/>
      <c r="J28" s="44"/>
      <c r="K28" s="64" t="s">
        <v>40</v>
      </c>
      <c r="L28" s="44"/>
      <c r="M28" s="44"/>
      <c r="N28" s="44"/>
      <c r="O28" s="44"/>
      <c r="P28" s="44"/>
      <c r="Q28" s="44"/>
      <c r="R28" s="44"/>
      <c r="S28" s="44"/>
      <c r="T28" s="44"/>
      <c r="U28" s="44"/>
      <c r="V28" s="44"/>
      <c r="W28" s="44"/>
      <c r="X28" s="44"/>
      <c r="Y28" s="45"/>
      <c r="Z28" s="44"/>
      <c r="AP28" s="41"/>
      <c r="AQ28" s="41"/>
      <c r="AR28" s="41"/>
      <c r="AS28" s="41"/>
      <c r="AT28" s="41"/>
      <c r="BJ28" s="41"/>
      <c r="BK28" s="41"/>
      <c r="BL28" s="41"/>
      <c r="BM28" s="41"/>
      <c r="BN28" s="41"/>
      <c r="CD28" s="41"/>
      <c r="CE28" s="41"/>
      <c r="CF28" s="41"/>
      <c r="CG28" s="41"/>
      <c r="CH28" s="41"/>
      <c r="CI28" s="41"/>
      <c r="CJ28" s="41"/>
      <c r="CK28" s="41"/>
      <c r="CL28" s="41"/>
      <c r="CM28" s="41"/>
      <c r="CN28" s="41"/>
      <c r="CO28" s="41"/>
      <c r="CP28" s="41"/>
      <c r="CQ28" s="41"/>
      <c r="CR28" s="41"/>
      <c r="CS28" s="41"/>
      <c r="CT28" s="41"/>
      <c r="CU28" s="41"/>
      <c r="CV28" s="41"/>
      <c r="CW28" s="41"/>
      <c r="CX28" s="41"/>
      <c r="CY28" s="41"/>
      <c r="CZ28" s="41"/>
      <c r="DA28" s="41"/>
      <c r="DB28" s="41"/>
      <c r="DC28" s="41"/>
      <c r="DD28" s="41"/>
      <c r="DE28" s="41"/>
      <c r="DF28" s="41"/>
      <c r="DG28" s="41"/>
      <c r="DH28" s="41"/>
      <c r="DI28" s="41"/>
      <c r="DJ28" s="41"/>
      <c r="DK28" s="41"/>
      <c r="DL28" s="41"/>
      <c r="DM28" s="41"/>
      <c r="DN28" s="41"/>
      <c r="DO28" s="41"/>
      <c r="DP28" s="41"/>
      <c r="DQ28" s="41"/>
      <c r="DR28" s="41"/>
      <c r="DS28" s="41"/>
      <c r="DT28" s="41"/>
      <c r="DU28" s="41"/>
      <c r="DV28" s="41"/>
      <c r="DW28" s="41"/>
      <c r="DX28" s="41"/>
      <c r="DY28" s="41"/>
      <c r="DZ28" s="41"/>
      <c r="EA28" s="41"/>
      <c r="EB28" s="41"/>
      <c r="EC28" s="41"/>
      <c r="ED28" s="41"/>
      <c r="EE28" s="41"/>
      <c r="EF28" s="41"/>
      <c r="EG28" s="41"/>
      <c r="EH28" s="41"/>
      <c r="EI28" s="41"/>
      <c r="EJ28" s="41"/>
      <c r="EK28" s="41"/>
      <c r="EL28" s="41"/>
      <c r="EM28" s="41"/>
      <c r="EN28" s="41"/>
      <c r="EO28" s="41"/>
      <c r="EP28" s="41"/>
      <c r="EQ28" s="41"/>
      <c r="ER28" s="41"/>
      <c r="ES28" s="41"/>
      <c r="ET28" s="41"/>
      <c r="EU28" s="41"/>
      <c r="EV28" s="41"/>
      <c r="EW28" s="41"/>
      <c r="EX28" s="41"/>
      <c r="EY28" s="41"/>
      <c r="EZ28" s="41"/>
      <c r="FA28" s="41"/>
      <c r="FB28" s="41"/>
      <c r="FC28" s="41"/>
      <c r="FD28" s="41"/>
      <c r="FE28" s="41"/>
      <c r="FF28" s="41"/>
      <c r="FG28" s="41"/>
      <c r="FH28" s="41"/>
      <c r="FI28" s="41"/>
      <c r="FJ28" s="41"/>
      <c r="FK28" s="41"/>
      <c r="FL28" s="41"/>
      <c r="FM28" s="41"/>
      <c r="FN28" s="41"/>
      <c r="FO28" s="41"/>
      <c r="FP28" s="41"/>
      <c r="FQ28" s="41"/>
      <c r="FR28" s="41"/>
      <c r="FS28" s="41"/>
      <c r="FT28" s="41"/>
    </row>
    <row r="29" spans="2:176" s="46" customFormat="1" ht="15.75" customHeight="1" x14ac:dyDescent="0.2">
      <c r="B29" s="44"/>
      <c r="C29" s="43"/>
      <c r="D29" s="43"/>
      <c r="E29" s="44"/>
      <c r="F29" s="44"/>
      <c r="G29" s="44"/>
      <c r="H29" s="44"/>
      <c r="I29" s="44"/>
      <c r="J29" s="44"/>
      <c r="K29" s="64" t="s">
        <v>40</v>
      </c>
      <c r="L29" s="44"/>
      <c r="M29" s="44"/>
      <c r="N29" s="44"/>
      <c r="O29" s="44"/>
      <c r="P29" s="44"/>
      <c r="Q29" s="44"/>
      <c r="R29" s="44"/>
      <c r="S29" s="44"/>
      <c r="T29" s="44"/>
      <c r="U29" s="44"/>
      <c r="V29" s="44"/>
      <c r="W29" s="44"/>
      <c r="X29" s="44"/>
      <c r="Y29" s="45"/>
      <c r="Z29" s="44"/>
      <c r="AP29" s="41"/>
      <c r="AQ29" s="41"/>
      <c r="AR29" s="41"/>
      <c r="AS29" s="41"/>
      <c r="AT29" s="41"/>
      <c r="BJ29" s="41"/>
      <c r="BK29" s="41"/>
      <c r="BL29" s="41"/>
      <c r="BM29" s="41"/>
      <c r="BN29" s="41"/>
      <c r="CD29" s="41"/>
      <c r="CE29" s="41"/>
      <c r="CF29" s="41"/>
      <c r="CG29" s="41"/>
      <c r="CH29" s="41"/>
      <c r="CI29" s="41"/>
      <c r="CJ29" s="41"/>
      <c r="CK29" s="41"/>
      <c r="CL29" s="41"/>
      <c r="CM29" s="41"/>
      <c r="CN29" s="41"/>
      <c r="CO29" s="41"/>
      <c r="CP29" s="41"/>
      <c r="CQ29" s="41"/>
      <c r="CR29" s="41"/>
      <c r="CS29" s="41"/>
      <c r="CT29" s="41"/>
      <c r="CU29" s="41"/>
      <c r="CV29" s="41"/>
      <c r="CW29" s="41"/>
      <c r="CX29" s="41"/>
      <c r="CY29" s="41"/>
      <c r="CZ29" s="41"/>
      <c r="DA29" s="41"/>
      <c r="DB29" s="41"/>
      <c r="DC29" s="41"/>
      <c r="DD29" s="41"/>
      <c r="DE29" s="41"/>
      <c r="DF29" s="41"/>
      <c r="DG29" s="41"/>
      <c r="DH29" s="41"/>
      <c r="DI29" s="41"/>
      <c r="DJ29" s="41"/>
      <c r="DK29" s="41"/>
      <c r="DL29" s="41"/>
      <c r="DM29" s="41"/>
      <c r="DN29" s="41"/>
      <c r="DO29" s="41"/>
      <c r="DP29" s="41"/>
      <c r="DQ29" s="41"/>
      <c r="DR29" s="41"/>
      <c r="DS29" s="41"/>
      <c r="DT29" s="41"/>
      <c r="DU29" s="41"/>
      <c r="DV29" s="41"/>
      <c r="DW29" s="41"/>
      <c r="DX29" s="41"/>
      <c r="DY29" s="41"/>
      <c r="DZ29" s="41"/>
      <c r="EA29" s="41"/>
      <c r="EB29" s="41"/>
      <c r="EC29" s="41"/>
      <c r="ED29" s="41"/>
      <c r="EE29" s="41"/>
      <c r="EF29" s="41"/>
      <c r="EG29" s="41"/>
      <c r="EH29" s="41"/>
      <c r="EI29" s="41"/>
      <c r="EJ29" s="41"/>
      <c r="EK29" s="41"/>
      <c r="EL29" s="41"/>
      <c r="EM29" s="41"/>
      <c r="EN29" s="41"/>
      <c r="EO29" s="41"/>
      <c r="EP29" s="41"/>
      <c r="EQ29" s="41"/>
      <c r="ER29" s="41"/>
      <c r="ES29" s="41"/>
      <c r="ET29" s="41"/>
      <c r="EU29" s="41"/>
      <c r="EV29" s="41"/>
      <c r="EW29" s="41"/>
      <c r="EX29" s="41"/>
      <c r="EY29" s="41"/>
      <c r="EZ29" s="41"/>
      <c r="FA29" s="41"/>
      <c r="FB29" s="41"/>
      <c r="FC29" s="41"/>
      <c r="FD29" s="41"/>
      <c r="FE29" s="41"/>
      <c r="FF29" s="41"/>
      <c r="FG29" s="41"/>
      <c r="FH29" s="41"/>
      <c r="FI29" s="41"/>
      <c r="FJ29" s="41"/>
      <c r="FK29" s="41"/>
      <c r="FL29" s="41"/>
      <c r="FM29" s="41"/>
      <c r="FN29" s="41"/>
      <c r="FO29" s="41"/>
      <c r="FP29" s="41"/>
      <c r="FQ29" s="41"/>
      <c r="FR29" s="41"/>
      <c r="FS29" s="41"/>
      <c r="FT29" s="41"/>
    </row>
    <row r="30" spans="2:176" s="46" customFormat="1" ht="15.75" customHeight="1" x14ac:dyDescent="0.2">
      <c r="B30" s="44"/>
      <c r="C30" s="43"/>
      <c r="D30" s="43"/>
      <c r="E30" s="44"/>
      <c r="F30" s="44"/>
      <c r="G30" s="44"/>
      <c r="H30" s="44"/>
      <c r="I30" s="44"/>
      <c r="J30" s="44"/>
      <c r="K30" s="64" t="s">
        <v>40</v>
      </c>
      <c r="L30" s="44"/>
      <c r="M30" s="44"/>
      <c r="N30" s="44"/>
      <c r="O30" s="44"/>
      <c r="P30" s="44"/>
      <c r="Q30" s="44"/>
      <c r="R30" s="44"/>
      <c r="S30" s="44"/>
      <c r="T30" s="44"/>
      <c r="U30" s="44"/>
      <c r="V30" s="44"/>
      <c r="W30" s="44"/>
      <c r="X30" s="44"/>
      <c r="Y30" s="45"/>
      <c r="Z30" s="44"/>
      <c r="AP30" s="41"/>
      <c r="AQ30" s="41"/>
      <c r="AR30" s="41"/>
      <c r="AS30" s="41"/>
      <c r="AT30" s="41"/>
      <c r="BJ30" s="41"/>
      <c r="BK30" s="41"/>
      <c r="BL30" s="41"/>
      <c r="BM30" s="41"/>
      <c r="BN30" s="41"/>
      <c r="CD30" s="41"/>
      <c r="CE30" s="41"/>
      <c r="CF30" s="41"/>
      <c r="CG30" s="41"/>
      <c r="CH30" s="41"/>
      <c r="CI30" s="41"/>
      <c r="CJ30" s="41"/>
      <c r="CK30" s="41"/>
      <c r="CL30" s="41"/>
      <c r="CM30" s="41"/>
      <c r="CN30" s="41"/>
      <c r="CO30" s="41"/>
      <c r="CP30" s="41"/>
      <c r="CQ30" s="41"/>
      <c r="CR30" s="41"/>
      <c r="CS30" s="41"/>
      <c r="CT30" s="41"/>
      <c r="CU30" s="41"/>
      <c r="CV30" s="41"/>
      <c r="CW30" s="41"/>
      <c r="CX30" s="41"/>
      <c r="CY30" s="41"/>
      <c r="CZ30" s="41"/>
      <c r="DA30" s="41"/>
      <c r="DB30" s="41"/>
      <c r="DC30" s="41"/>
      <c r="DD30" s="41"/>
      <c r="DE30" s="41"/>
      <c r="DF30" s="41"/>
      <c r="DG30" s="41"/>
      <c r="DH30" s="41"/>
      <c r="DI30" s="41"/>
      <c r="DJ30" s="41"/>
      <c r="DK30" s="41"/>
      <c r="DL30" s="41"/>
      <c r="DM30" s="41"/>
      <c r="DN30" s="41"/>
      <c r="DO30" s="41"/>
      <c r="DP30" s="41"/>
      <c r="DQ30" s="41"/>
      <c r="DR30" s="41"/>
      <c r="DS30" s="41"/>
      <c r="DT30" s="41"/>
      <c r="DU30" s="41"/>
      <c r="DV30" s="41"/>
      <c r="DW30" s="41"/>
      <c r="DX30" s="41"/>
      <c r="DY30" s="41"/>
      <c r="DZ30" s="41"/>
      <c r="EA30" s="41"/>
      <c r="EB30" s="41"/>
      <c r="EC30" s="41"/>
      <c r="ED30" s="41"/>
      <c r="EE30" s="41"/>
      <c r="EF30" s="41"/>
      <c r="EG30" s="41"/>
      <c r="EH30" s="41"/>
      <c r="EI30" s="41"/>
      <c r="EJ30" s="41"/>
      <c r="EK30" s="41"/>
      <c r="EL30" s="41"/>
      <c r="EM30" s="41"/>
      <c r="EN30" s="41"/>
      <c r="EO30" s="41"/>
      <c r="EP30" s="41"/>
      <c r="EQ30" s="41"/>
      <c r="ER30" s="41"/>
      <c r="ES30" s="41"/>
      <c r="ET30" s="41"/>
      <c r="EU30" s="41"/>
      <c r="EV30" s="41"/>
      <c r="EW30" s="41"/>
      <c r="EX30" s="41"/>
      <c r="EY30" s="41"/>
      <c r="EZ30" s="41"/>
      <c r="FA30" s="41"/>
      <c r="FB30" s="41"/>
      <c r="FC30" s="41"/>
      <c r="FD30" s="41"/>
      <c r="FE30" s="41"/>
      <c r="FF30" s="41"/>
      <c r="FG30" s="41"/>
      <c r="FH30" s="41"/>
      <c r="FI30" s="41"/>
      <c r="FJ30" s="41"/>
      <c r="FK30" s="41"/>
      <c r="FL30" s="41"/>
      <c r="FM30" s="41"/>
      <c r="FN30" s="41"/>
      <c r="FO30" s="41"/>
      <c r="FP30" s="41"/>
      <c r="FQ30" s="41"/>
      <c r="FR30" s="41"/>
      <c r="FS30" s="41"/>
      <c r="FT30" s="41"/>
    </row>
    <row r="31" spans="2:176" s="46" customFormat="1" ht="15.75" customHeight="1" x14ac:dyDescent="0.2">
      <c r="B31" s="44"/>
      <c r="C31" s="43"/>
      <c r="D31" s="43"/>
      <c r="E31" s="44"/>
      <c r="F31" s="44"/>
      <c r="G31" s="44"/>
      <c r="H31" s="44"/>
      <c r="I31" s="44"/>
      <c r="J31" s="44"/>
      <c r="K31" s="64" t="s">
        <v>40</v>
      </c>
      <c r="L31" s="44"/>
      <c r="M31" s="44"/>
      <c r="N31" s="44"/>
      <c r="O31" s="44"/>
      <c r="P31" s="44"/>
      <c r="Q31" s="44"/>
      <c r="R31" s="44"/>
      <c r="S31" s="44"/>
      <c r="T31" s="44"/>
      <c r="U31" s="44"/>
      <c r="V31" s="44"/>
      <c r="W31" s="44"/>
      <c r="X31" s="44"/>
      <c r="Y31" s="45"/>
      <c r="Z31" s="44"/>
      <c r="AP31" s="41"/>
      <c r="AQ31" s="41"/>
      <c r="AR31" s="41"/>
      <c r="AS31" s="41"/>
      <c r="AT31" s="41"/>
      <c r="BJ31" s="41"/>
      <c r="BK31" s="41"/>
      <c r="BL31" s="41"/>
      <c r="BM31" s="41"/>
      <c r="BN31" s="41"/>
      <c r="CD31" s="41"/>
      <c r="CE31" s="41"/>
      <c r="CF31" s="41"/>
      <c r="CG31" s="41"/>
      <c r="CH31" s="41"/>
      <c r="CI31" s="41"/>
      <c r="CJ31" s="41"/>
      <c r="CK31" s="41"/>
      <c r="CL31" s="41"/>
      <c r="CM31" s="41"/>
      <c r="CN31" s="41"/>
      <c r="CO31" s="41"/>
      <c r="CP31" s="41"/>
      <c r="CQ31" s="41"/>
      <c r="CR31" s="41"/>
      <c r="CS31" s="41"/>
      <c r="CT31" s="41"/>
      <c r="CU31" s="41"/>
      <c r="CV31" s="41"/>
      <c r="CW31" s="41"/>
      <c r="CX31" s="41"/>
      <c r="CY31" s="41"/>
      <c r="CZ31" s="41"/>
      <c r="DA31" s="41"/>
      <c r="DB31" s="41"/>
      <c r="DC31" s="41"/>
      <c r="DD31" s="41"/>
      <c r="DE31" s="41"/>
      <c r="DF31" s="41"/>
      <c r="DG31" s="41"/>
      <c r="DH31" s="41"/>
      <c r="DI31" s="41"/>
      <c r="DJ31" s="41"/>
      <c r="DK31" s="41"/>
      <c r="DL31" s="41"/>
      <c r="DM31" s="41"/>
      <c r="DN31" s="41"/>
      <c r="DO31" s="41"/>
      <c r="DP31" s="41"/>
      <c r="DQ31" s="41"/>
      <c r="DR31" s="41"/>
      <c r="DS31" s="41"/>
      <c r="DT31" s="41"/>
      <c r="DU31" s="41"/>
      <c r="DV31" s="41"/>
      <c r="DW31" s="41"/>
      <c r="DX31" s="41"/>
      <c r="DY31" s="41"/>
      <c r="DZ31" s="41"/>
      <c r="EA31" s="41"/>
      <c r="EB31" s="41"/>
      <c r="EC31" s="41"/>
      <c r="ED31" s="41"/>
      <c r="EE31" s="41"/>
      <c r="EF31" s="41"/>
      <c r="EG31" s="41"/>
      <c r="EH31" s="41"/>
      <c r="EI31" s="41"/>
      <c r="EJ31" s="41"/>
      <c r="EK31" s="41"/>
      <c r="EL31" s="41"/>
      <c r="EM31" s="41"/>
      <c r="EN31" s="41"/>
      <c r="EO31" s="41"/>
      <c r="EP31" s="41"/>
      <c r="EQ31" s="41"/>
      <c r="ER31" s="41"/>
      <c r="ES31" s="41"/>
      <c r="ET31" s="41"/>
      <c r="EU31" s="41"/>
      <c r="EV31" s="41"/>
      <c r="EW31" s="41"/>
      <c r="EX31" s="41"/>
      <c r="EY31" s="41"/>
      <c r="EZ31" s="41"/>
      <c r="FA31" s="41"/>
      <c r="FB31" s="41"/>
      <c r="FC31" s="41"/>
      <c r="FD31" s="41"/>
      <c r="FE31" s="41"/>
      <c r="FF31" s="41"/>
      <c r="FG31" s="41"/>
      <c r="FH31" s="41"/>
      <c r="FI31" s="41"/>
      <c r="FJ31" s="41"/>
      <c r="FK31" s="41"/>
      <c r="FL31" s="41"/>
      <c r="FM31" s="41"/>
      <c r="FN31" s="41"/>
      <c r="FO31" s="41"/>
      <c r="FP31" s="41"/>
      <c r="FQ31" s="41"/>
      <c r="FR31" s="41"/>
      <c r="FS31" s="41"/>
      <c r="FT31" s="41"/>
    </row>
    <row r="32" spans="2:176" s="46" customFormat="1" ht="15.75" customHeight="1" x14ac:dyDescent="0.2">
      <c r="B32" s="44"/>
      <c r="C32" s="43"/>
      <c r="D32" s="43"/>
      <c r="E32" s="44"/>
      <c r="F32" s="44"/>
      <c r="G32" s="44"/>
      <c r="H32" s="44"/>
      <c r="I32" s="44"/>
      <c r="J32" s="44"/>
      <c r="K32" s="64" t="s">
        <v>40</v>
      </c>
      <c r="L32" s="44"/>
      <c r="M32" s="44"/>
      <c r="N32" s="44"/>
      <c r="O32" s="44"/>
      <c r="P32" s="44"/>
      <c r="Q32" s="44"/>
      <c r="R32" s="44"/>
      <c r="S32" s="44"/>
      <c r="T32" s="44"/>
      <c r="U32" s="44"/>
      <c r="V32" s="44"/>
      <c r="W32" s="44"/>
      <c r="X32" s="44"/>
      <c r="Y32" s="45"/>
      <c r="Z32" s="44"/>
      <c r="AP32" s="41"/>
      <c r="AQ32" s="41"/>
      <c r="AR32" s="41"/>
      <c r="AS32" s="41"/>
      <c r="AT32" s="41"/>
      <c r="BJ32" s="41"/>
      <c r="BK32" s="41"/>
      <c r="BL32" s="41"/>
      <c r="BM32" s="41"/>
      <c r="BN32" s="41"/>
      <c r="CD32" s="41"/>
      <c r="CE32" s="41"/>
      <c r="CF32" s="41"/>
      <c r="CG32" s="41"/>
      <c r="CH32" s="41"/>
      <c r="CI32" s="41"/>
      <c r="CJ32" s="41"/>
      <c r="CK32" s="41"/>
      <c r="CL32" s="41"/>
      <c r="CM32" s="41"/>
      <c r="CN32" s="41"/>
      <c r="CO32" s="41"/>
      <c r="CP32" s="41"/>
      <c r="CQ32" s="41"/>
      <c r="CR32" s="41"/>
      <c r="CS32" s="41"/>
      <c r="CT32" s="41"/>
      <c r="CU32" s="41"/>
      <c r="CV32" s="41"/>
      <c r="CW32" s="41"/>
      <c r="CX32" s="41"/>
      <c r="CY32" s="41"/>
      <c r="CZ32" s="41"/>
      <c r="DA32" s="41"/>
      <c r="DB32" s="41"/>
      <c r="DC32" s="41"/>
      <c r="DD32" s="41"/>
      <c r="DE32" s="41"/>
      <c r="DF32" s="41"/>
      <c r="DG32" s="41"/>
      <c r="DH32" s="41"/>
      <c r="DI32" s="41"/>
      <c r="DJ32" s="41"/>
      <c r="DK32" s="41"/>
      <c r="DL32" s="41"/>
      <c r="DM32" s="41"/>
      <c r="DN32" s="41"/>
      <c r="DO32" s="41"/>
      <c r="DP32" s="41"/>
      <c r="DQ32" s="41"/>
      <c r="DR32" s="41"/>
      <c r="DS32" s="41"/>
      <c r="DT32" s="41"/>
      <c r="DU32" s="41"/>
      <c r="DV32" s="41"/>
      <c r="DW32" s="41"/>
      <c r="DX32" s="41"/>
      <c r="DY32" s="41"/>
      <c r="DZ32" s="41"/>
      <c r="EA32" s="41"/>
      <c r="EB32" s="41"/>
      <c r="EC32" s="41"/>
      <c r="ED32" s="41"/>
      <c r="EE32" s="41"/>
      <c r="EF32" s="41"/>
      <c r="EG32" s="41"/>
      <c r="EH32" s="41"/>
      <c r="EI32" s="41"/>
      <c r="EJ32" s="41"/>
      <c r="EK32" s="41"/>
      <c r="EL32" s="41"/>
      <c r="EM32" s="41"/>
      <c r="EN32" s="41"/>
      <c r="EO32" s="41"/>
      <c r="EP32" s="41"/>
      <c r="EQ32" s="41"/>
      <c r="ER32" s="41"/>
      <c r="ES32" s="41"/>
      <c r="ET32" s="41"/>
      <c r="EU32" s="41"/>
      <c r="EV32" s="41"/>
      <c r="EW32" s="41"/>
      <c r="EX32" s="41"/>
      <c r="EY32" s="41"/>
      <c r="EZ32" s="41"/>
      <c r="FA32" s="41"/>
      <c r="FB32" s="41"/>
      <c r="FC32" s="41"/>
      <c r="FD32" s="41"/>
      <c r="FE32" s="41"/>
      <c r="FF32" s="41"/>
      <c r="FG32" s="41"/>
      <c r="FH32" s="41"/>
      <c r="FI32" s="41"/>
      <c r="FJ32" s="41"/>
      <c r="FK32" s="41"/>
      <c r="FL32" s="41"/>
      <c r="FM32" s="41"/>
      <c r="FN32" s="41"/>
      <c r="FO32" s="41"/>
      <c r="FP32" s="41"/>
      <c r="FQ32" s="41"/>
      <c r="FR32" s="41"/>
      <c r="FS32" s="41"/>
      <c r="FT32" s="41"/>
    </row>
    <row r="33" spans="2:176" s="46" customFormat="1" ht="15.75" customHeight="1" x14ac:dyDescent="0.2">
      <c r="B33" s="44"/>
      <c r="C33" s="43"/>
      <c r="D33" s="43"/>
      <c r="E33" s="44"/>
      <c r="F33" s="44"/>
      <c r="G33" s="44"/>
      <c r="H33" s="44"/>
      <c r="I33" s="44"/>
      <c r="J33" s="44"/>
      <c r="K33" s="64" t="s">
        <v>40</v>
      </c>
      <c r="L33" s="44"/>
      <c r="M33" s="44"/>
      <c r="N33" s="44"/>
      <c r="O33" s="44"/>
      <c r="P33" s="44"/>
      <c r="Q33" s="44"/>
      <c r="R33" s="44"/>
      <c r="S33" s="44"/>
      <c r="T33" s="44"/>
      <c r="U33" s="44"/>
      <c r="V33" s="44"/>
      <c r="W33" s="44"/>
      <c r="X33" s="44"/>
      <c r="Y33" s="45"/>
      <c r="Z33" s="44"/>
      <c r="AP33" s="41"/>
      <c r="AQ33" s="41"/>
      <c r="AR33" s="41"/>
      <c r="AS33" s="41"/>
      <c r="AT33" s="41"/>
      <c r="BJ33" s="41"/>
      <c r="BK33" s="41"/>
      <c r="BL33" s="41"/>
      <c r="BM33" s="41"/>
      <c r="BN33" s="41"/>
      <c r="CD33" s="41"/>
      <c r="CE33" s="41"/>
      <c r="CF33" s="41"/>
      <c r="CG33" s="41"/>
      <c r="CH33" s="41"/>
      <c r="CI33" s="41"/>
      <c r="CJ33" s="41"/>
      <c r="CK33" s="41"/>
      <c r="CL33" s="41"/>
      <c r="CM33" s="41"/>
      <c r="CN33" s="41"/>
      <c r="CO33" s="41"/>
      <c r="CP33" s="41"/>
      <c r="CQ33" s="41"/>
      <c r="CR33" s="41"/>
      <c r="CS33" s="41"/>
      <c r="CT33" s="41"/>
      <c r="CU33" s="41"/>
      <c r="CV33" s="41"/>
      <c r="CW33" s="41"/>
      <c r="CX33" s="41"/>
      <c r="CY33" s="41"/>
      <c r="CZ33" s="41"/>
      <c r="DA33" s="41"/>
      <c r="DB33" s="41"/>
      <c r="DC33" s="41"/>
      <c r="DD33" s="41"/>
      <c r="DE33" s="41"/>
      <c r="DF33" s="41"/>
      <c r="DG33" s="41"/>
      <c r="DH33" s="41"/>
      <c r="DI33" s="41"/>
      <c r="DJ33" s="41"/>
      <c r="DK33" s="41"/>
      <c r="DL33" s="41"/>
      <c r="DM33" s="41"/>
      <c r="DN33" s="41"/>
      <c r="DO33" s="41"/>
      <c r="DP33" s="41"/>
      <c r="DQ33" s="41"/>
      <c r="DR33" s="41"/>
      <c r="DS33" s="41"/>
      <c r="DT33" s="41"/>
      <c r="DU33" s="41"/>
      <c r="DV33" s="41"/>
      <c r="DW33" s="41"/>
      <c r="DX33" s="41"/>
      <c r="DY33" s="41"/>
      <c r="DZ33" s="41"/>
      <c r="EA33" s="41"/>
      <c r="EB33" s="41"/>
      <c r="EC33" s="41"/>
      <c r="ED33" s="41"/>
      <c r="EE33" s="41"/>
      <c r="EF33" s="41"/>
      <c r="EG33" s="41"/>
      <c r="EH33" s="41"/>
      <c r="EI33" s="41"/>
      <c r="EJ33" s="41"/>
      <c r="EK33" s="41"/>
      <c r="EL33" s="41"/>
      <c r="EM33" s="41"/>
      <c r="EN33" s="41"/>
      <c r="EO33" s="41"/>
      <c r="EP33" s="41"/>
      <c r="EQ33" s="41"/>
      <c r="ER33" s="41"/>
      <c r="ES33" s="41"/>
      <c r="ET33" s="41"/>
      <c r="EU33" s="41"/>
      <c r="EV33" s="41"/>
      <c r="EW33" s="41"/>
      <c r="EX33" s="41"/>
      <c r="EY33" s="41"/>
      <c r="EZ33" s="41"/>
      <c r="FA33" s="41"/>
      <c r="FB33" s="41"/>
      <c r="FC33" s="41"/>
      <c r="FD33" s="41"/>
      <c r="FE33" s="41"/>
      <c r="FF33" s="41"/>
      <c r="FG33" s="41"/>
      <c r="FH33" s="41"/>
      <c r="FI33" s="41"/>
      <c r="FJ33" s="41"/>
      <c r="FK33" s="41"/>
      <c r="FL33" s="41"/>
      <c r="FM33" s="41"/>
      <c r="FN33" s="41"/>
      <c r="FO33" s="41"/>
      <c r="FP33" s="41"/>
      <c r="FQ33" s="41"/>
      <c r="FR33" s="41"/>
      <c r="FS33" s="41"/>
      <c r="FT33" s="41"/>
    </row>
    <row r="34" spans="2:176" s="46" customFormat="1" ht="15.75" customHeight="1" x14ac:dyDescent="0.2">
      <c r="B34" s="44"/>
      <c r="C34" s="43"/>
      <c r="D34" s="43"/>
      <c r="E34" s="44"/>
      <c r="F34" s="44"/>
      <c r="G34" s="43"/>
      <c r="H34" s="43"/>
      <c r="I34" s="43"/>
      <c r="J34" s="43"/>
      <c r="K34" s="80" t="s">
        <v>40</v>
      </c>
      <c r="L34" s="43"/>
      <c r="M34" s="43"/>
      <c r="N34" s="43"/>
      <c r="O34" s="43"/>
      <c r="P34" s="43"/>
      <c r="Q34" s="43"/>
      <c r="R34" s="43"/>
      <c r="S34" s="43"/>
      <c r="T34" s="43"/>
      <c r="U34" s="43"/>
      <c r="V34" s="43"/>
      <c r="W34" s="43"/>
      <c r="X34" s="43"/>
      <c r="Y34" s="86"/>
      <c r="Z34" s="43"/>
      <c r="AP34" s="41"/>
      <c r="AQ34" s="41"/>
      <c r="AR34" s="41"/>
      <c r="AS34" s="41"/>
      <c r="AT34" s="41"/>
      <c r="BJ34" s="41"/>
      <c r="BK34" s="41"/>
      <c r="BL34" s="41"/>
      <c r="BM34" s="41"/>
      <c r="BN34" s="41"/>
      <c r="CD34" s="41"/>
      <c r="CE34" s="41"/>
      <c r="CF34" s="41"/>
      <c r="CG34" s="41"/>
      <c r="CH34" s="41"/>
      <c r="CI34" s="41"/>
      <c r="CJ34" s="41"/>
      <c r="CK34" s="41"/>
      <c r="CL34" s="41"/>
      <c r="CM34" s="41"/>
      <c r="CN34" s="41"/>
      <c r="CO34" s="41"/>
      <c r="CP34" s="41"/>
      <c r="CQ34" s="41"/>
      <c r="CR34" s="41"/>
      <c r="CS34" s="41"/>
      <c r="CT34" s="41"/>
      <c r="CU34" s="41"/>
      <c r="CV34" s="41"/>
      <c r="CW34" s="41"/>
      <c r="CX34" s="41"/>
      <c r="CY34" s="41"/>
      <c r="CZ34" s="41"/>
      <c r="DA34" s="41"/>
      <c r="DB34" s="41"/>
      <c r="DC34" s="41"/>
      <c r="DD34" s="41"/>
      <c r="DE34" s="41"/>
      <c r="DF34" s="41"/>
      <c r="DG34" s="41"/>
      <c r="DH34" s="41"/>
      <c r="DI34" s="41"/>
      <c r="DJ34" s="41"/>
      <c r="DK34" s="41"/>
      <c r="DL34" s="41"/>
      <c r="DM34" s="41"/>
      <c r="DN34" s="41"/>
      <c r="DO34" s="41"/>
      <c r="DP34" s="41"/>
      <c r="DQ34" s="41"/>
      <c r="DR34" s="41"/>
      <c r="DS34" s="41"/>
      <c r="DT34" s="41"/>
      <c r="DU34" s="41"/>
      <c r="DV34" s="41"/>
      <c r="DW34" s="41"/>
      <c r="DX34" s="41"/>
      <c r="DY34" s="41"/>
      <c r="DZ34" s="41"/>
      <c r="EA34" s="41"/>
      <c r="EB34" s="41"/>
      <c r="EC34" s="41"/>
      <c r="ED34" s="41"/>
      <c r="EE34" s="41"/>
      <c r="EF34" s="41"/>
      <c r="EG34" s="41"/>
      <c r="EH34" s="41"/>
      <c r="EI34" s="41"/>
      <c r="EJ34" s="41"/>
      <c r="EK34" s="41"/>
      <c r="EL34" s="41"/>
      <c r="EM34" s="41"/>
      <c r="EN34" s="41"/>
      <c r="EO34" s="41"/>
      <c r="EP34" s="41"/>
      <c r="EQ34" s="41"/>
      <c r="ER34" s="41"/>
      <c r="ES34" s="41"/>
      <c r="ET34" s="41"/>
      <c r="EU34" s="41"/>
      <c r="EV34" s="41"/>
      <c r="EW34" s="41"/>
      <c r="EX34" s="41"/>
      <c r="EY34" s="41"/>
      <c r="EZ34" s="41"/>
      <c r="FA34" s="41"/>
      <c r="FB34" s="41"/>
      <c r="FC34" s="41"/>
      <c r="FD34" s="41"/>
      <c r="FE34" s="41"/>
      <c r="FF34" s="41"/>
      <c r="FG34" s="41"/>
      <c r="FH34" s="41"/>
      <c r="FI34" s="41"/>
      <c r="FJ34" s="41"/>
      <c r="FK34" s="41"/>
      <c r="FL34" s="41"/>
      <c r="FM34" s="41"/>
      <c r="FN34" s="41"/>
      <c r="FO34" s="41"/>
      <c r="FP34" s="41"/>
      <c r="FQ34" s="41"/>
      <c r="FR34" s="41"/>
      <c r="FS34" s="41"/>
      <c r="FT34" s="41"/>
    </row>
    <row r="35" spans="2:176" s="46" customFormat="1" ht="15.75" customHeight="1" x14ac:dyDescent="0.2">
      <c r="B35" s="44"/>
      <c r="C35" s="43"/>
      <c r="D35" s="43"/>
      <c r="E35" s="44"/>
      <c r="F35" s="44"/>
      <c r="G35" s="44"/>
      <c r="H35" s="44"/>
      <c r="I35" s="44"/>
      <c r="J35" s="44"/>
      <c r="K35" s="80" t="s">
        <v>40</v>
      </c>
      <c r="L35" s="44"/>
      <c r="M35" s="44"/>
      <c r="N35" s="44"/>
      <c r="O35" s="44"/>
      <c r="P35" s="44"/>
      <c r="Q35" s="44"/>
      <c r="R35" s="44"/>
      <c r="S35" s="44"/>
      <c r="T35" s="44"/>
      <c r="U35" s="44"/>
      <c r="V35" s="44"/>
      <c r="W35" s="44"/>
      <c r="X35" s="44"/>
      <c r="Y35" s="45"/>
      <c r="Z35" s="44"/>
      <c r="AP35" s="41"/>
      <c r="AQ35" s="41"/>
      <c r="AR35" s="41"/>
      <c r="AS35" s="41"/>
      <c r="AT35" s="41"/>
      <c r="BJ35" s="41"/>
      <c r="BK35" s="41"/>
      <c r="BL35" s="41"/>
      <c r="BM35" s="41"/>
      <c r="BN35" s="41"/>
      <c r="CD35" s="41"/>
      <c r="CE35" s="41"/>
      <c r="CF35" s="41"/>
      <c r="CG35" s="41"/>
      <c r="CH35" s="41"/>
      <c r="CI35" s="41"/>
      <c r="CJ35" s="41"/>
      <c r="CK35" s="41"/>
      <c r="CL35" s="41"/>
      <c r="CM35" s="41"/>
      <c r="CN35" s="41"/>
      <c r="CO35" s="41"/>
      <c r="CP35" s="41"/>
      <c r="CQ35" s="41"/>
      <c r="CR35" s="41"/>
      <c r="CS35" s="41"/>
      <c r="CT35" s="41"/>
      <c r="CU35" s="41"/>
      <c r="CV35" s="41"/>
      <c r="CW35" s="41"/>
      <c r="CX35" s="41"/>
      <c r="CY35" s="41"/>
      <c r="CZ35" s="41"/>
      <c r="DA35" s="41"/>
      <c r="DB35" s="41"/>
      <c r="DC35" s="41"/>
      <c r="DD35" s="41"/>
      <c r="DE35" s="41"/>
      <c r="DF35" s="41"/>
      <c r="DG35" s="41"/>
      <c r="DH35" s="41"/>
      <c r="DI35" s="41"/>
      <c r="DJ35" s="41"/>
      <c r="DK35" s="41"/>
      <c r="DL35" s="41"/>
      <c r="DM35" s="41"/>
      <c r="DN35" s="41"/>
      <c r="DO35" s="41"/>
      <c r="DP35" s="41"/>
      <c r="DQ35" s="41"/>
      <c r="DR35" s="41"/>
      <c r="DS35" s="41"/>
      <c r="DT35" s="41"/>
      <c r="DU35" s="41"/>
      <c r="DV35" s="41"/>
      <c r="DW35" s="41"/>
      <c r="DX35" s="41"/>
      <c r="DY35" s="41"/>
      <c r="DZ35" s="41"/>
      <c r="EA35" s="41"/>
      <c r="EB35" s="41"/>
      <c r="EC35" s="41"/>
      <c r="ED35" s="41"/>
      <c r="EE35" s="41"/>
      <c r="EF35" s="41"/>
      <c r="EG35" s="41"/>
      <c r="EH35" s="41"/>
      <c r="EI35" s="41"/>
      <c r="EJ35" s="41"/>
      <c r="EK35" s="41"/>
      <c r="EL35" s="41"/>
      <c r="EM35" s="41"/>
      <c r="EN35" s="41"/>
      <c r="EO35" s="41"/>
      <c r="EP35" s="41"/>
      <c r="EQ35" s="41"/>
      <c r="ER35" s="41"/>
      <c r="ES35" s="41"/>
      <c r="ET35" s="41"/>
      <c r="EU35" s="41"/>
      <c r="EV35" s="41"/>
      <c r="EW35" s="41"/>
      <c r="EX35" s="41"/>
      <c r="EY35" s="41"/>
      <c r="EZ35" s="41"/>
      <c r="FA35" s="41"/>
      <c r="FB35" s="41"/>
      <c r="FC35" s="41"/>
      <c r="FD35" s="41"/>
      <c r="FE35" s="41"/>
      <c r="FF35" s="41"/>
      <c r="FG35" s="41"/>
      <c r="FH35" s="41"/>
      <c r="FI35" s="41"/>
      <c r="FJ35" s="41"/>
      <c r="FK35" s="41"/>
      <c r="FL35" s="41"/>
      <c r="FM35" s="41"/>
      <c r="FN35" s="41"/>
      <c r="FO35" s="41"/>
      <c r="FP35" s="41"/>
      <c r="FQ35" s="41"/>
      <c r="FR35" s="41"/>
      <c r="FS35" s="41"/>
      <c r="FT35" s="41"/>
    </row>
    <row r="36" spans="2:176" s="46" customFormat="1" ht="15.75" customHeight="1" x14ac:dyDescent="0.2">
      <c r="B36" s="44"/>
      <c r="C36" s="43"/>
      <c r="D36" s="43"/>
      <c r="E36" s="44"/>
      <c r="F36" s="44"/>
      <c r="G36" s="44"/>
      <c r="H36" s="44"/>
      <c r="I36" s="44"/>
      <c r="J36" s="44"/>
      <c r="K36" s="80"/>
      <c r="L36" s="44"/>
      <c r="M36" s="44"/>
      <c r="N36" s="44"/>
      <c r="O36" s="44"/>
      <c r="P36" s="44"/>
      <c r="Q36" s="44"/>
      <c r="R36" s="44"/>
      <c r="S36" s="44"/>
      <c r="T36" s="44"/>
      <c r="U36" s="44"/>
      <c r="V36" s="44"/>
      <c r="W36" s="44"/>
      <c r="X36" s="44"/>
      <c r="Y36" s="45"/>
      <c r="Z36" s="44"/>
      <c r="AP36" s="41"/>
      <c r="AQ36" s="41"/>
      <c r="AR36" s="41"/>
      <c r="AS36" s="41"/>
      <c r="AT36" s="41"/>
      <c r="BJ36" s="41"/>
      <c r="BK36" s="41"/>
      <c r="BL36" s="41"/>
      <c r="BM36" s="41"/>
      <c r="BN36" s="41"/>
      <c r="CD36" s="41"/>
      <c r="CE36" s="41"/>
      <c r="CF36" s="41"/>
      <c r="CG36" s="41"/>
      <c r="CH36" s="41"/>
      <c r="CI36" s="41"/>
      <c r="CJ36" s="41"/>
      <c r="CK36" s="41"/>
      <c r="CL36" s="41"/>
      <c r="CM36" s="41"/>
      <c r="CN36" s="41"/>
      <c r="CO36" s="41"/>
      <c r="CP36" s="41"/>
      <c r="CQ36" s="41"/>
      <c r="CR36" s="41"/>
      <c r="CS36" s="41"/>
      <c r="CT36" s="41"/>
      <c r="CU36" s="41"/>
      <c r="CV36" s="41"/>
      <c r="CW36" s="41"/>
      <c r="CX36" s="41"/>
      <c r="CY36" s="41"/>
      <c r="CZ36" s="41"/>
      <c r="DA36" s="41"/>
      <c r="DB36" s="41"/>
      <c r="DC36" s="41"/>
      <c r="DD36" s="41"/>
      <c r="DE36" s="41"/>
      <c r="DF36" s="41"/>
      <c r="DG36" s="41"/>
      <c r="DH36" s="41"/>
      <c r="DI36" s="41"/>
      <c r="DJ36" s="41"/>
      <c r="DK36" s="41"/>
      <c r="DL36" s="41"/>
      <c r="DM36" s="41"/>
      <c r="DN36" s="41"/>
      <c r="DO36" s="41"/>
      <c r="DP36" s="41"/>
      <c r="DQ36" s="41"/>
      <c r="DR36" s="41"/>
      <c r="DS36" s="41"/>
      <c r="DT36" s="41"/>
      <c r="DU36" s="41"/>
      <c r="DV36" s="41"/>
      <c r="DW36" s="41"/>
      <c r="DX36" s="41"/>
      <c r="DY36" s="41"/>
      <c r="DZ36" s="41"/>
      <c r="EA36" s="41"/>
      <c r="EB36" s="41"/>
      <c r="EC36" s="41"/>
      <c r="ED36" s="41"/>
      <c r="EE36" s="41"/>
      <c r="EF36" s="41"/>
      <c r="EG36" s="41"/>
      <c r="EH36" s="41"/>
      <c r="EI36" s="41"/>
      <c r="EJ36" s="41"/>
      <c r="EK36" s="41"/>
      <c r="EL36" s="41"/>
      <c r="EM36" s="41"/>
      <c r="EN36" s="41"/>
      <c r="EO36" s="41"/>
      <c r="EP36" s="41"/>
      <c r="EQ36" s="41"/>
      <c r="ER36" s="41"/>
      <c r="ES36" s="41"/>
      <c r="ET36" s="41"/>
      <c r="EU36" s="41"/>
      <c r="EV36" s="41"/>
      <c r="EW36" s="41"/>
      <c r="EX36" s="41"/>
      <c r="EY36" s="41"/>
      <c r="EZ36" s="41"/>
      <c r="FA36" s="41"/>
      <c r="FB36" s="41"/>
      <c r="FC36" s="41"/>
      <c r="FD36" s="41"/>
      <c r="FE36" s="41"/>
      <c r="FF36" s="41"/>
      <c r="FG36" s="41"/>
      <c r="FH36" s="41"/>
      <c r="FI36" s="41"/>
      <c r="FJ36" s="41"/>
      <c r="FK36" s="41"/>
      <c r="FL36" s="41"/>
      <c r="FM36" s="41"/>
      <c r="FN36" s="41"/>
      <c r="FO36" s="41"/>
      <c r="FP36" s="41"/>
      <c r="FQ36" s="41"/>
      <c r="FR36" s="41"/>
      <c r="FS36" s="41"/>
      <c r="FT36" s="41"/>
    </row>
    <row r="37" spans="2:176" s="46" customFormat="1" ht="15.75" customHeight="1" x14ac:dyDescent="0.2">
      <c r="B37" s="44"/>
      <c r="C37" s="43"/>
      <c r="D37" s="43"/>
      <c r="E37" s="44"/>
      <c r="F37" s="44"/>
      <c r="G37" s="44"/>
      <c r="H37" s="44"/>
      <c r="I37" s="44"/>
      <c r="J37" s="44"/>
      <c r="K37" s="80"/>
      <c r="L37" s="44"/>
      <c r="M37" s="44"/>
      <c r="N37" s="44"/>
      <c r="O37" s="44"/>
      <c r="P37" s="44"/>
      <c r="Q37" s="44"/>
      <c r="R37" s="44"/>
      <c r="S37" s="44"/>
      <c r="T37" s="44"/>
      <c r="U37" s="44"/>
      <c r="V37" s="44"/>
      <c r="W37" s="44"/>
      <c r="X37" s="44"/>
      <c r="Y37" s="45"/>
      <c r="Z37" s="44"/>
      <c r="AP37" s="41"/>
      <c r="AQ37" s="41"/>
      <c r="AR37" s="41"/>
      <c r="AS37" s="41"/>
      <c r="AT37" s="41"/>
      <c r="BJ37" s="41"/>
      <c r="BK37" s="41"/>
      <c r="BL37" s="41"/>
      <c r="BM37" s="41"/>
      <c r="BN37" s="41"/>
      <c r="CD37" s="41"/>
      <c r="CE37" s="41"/>
      <c r="CF37" s="41"/>
      <c r="CG37" s="41"/>
      <c r="CH37" s="41"/>
      <c r="CI37" s="41"/>
      <c r="CJ37" s="41"/>
      <c r="CK37" s="41"/>
      <c r="CL37" s="41"/>
      <c r="CM37" s="41"/>
      <c r="CN37" s="41"/>
      <c r="CO37" s="41"/>
      <c r="CP37" s="41"/>
      <c r="CQ37" s="41"/>
      <c r="CR37" s="41"/>
      <c r="CS37" s="41"/>
      <c r="CT37" s="41"/>
      <c r="CU37" s="41"/>
      <c r="CV37" s="41"/>
      <c r="CW37" s="41"/>
      <c r="CX37" s="41"/>
      <c r="CY37" s="41"/>
      <c r="CZ37" s="41"/>
      <c r="DA37" s="41"/>
      <c r="DB37" s="41"/>
      <c r="DC37" s="41"/>
      <c r="DD37" s="41"/>
      <c r="DE37" s="41"/>
      <c r="DF37" s="41"/>
      <c r="DG37" s="41"/>
      <c r="DH37" s="41"/>
      <c r="DI37" s="41"/>
      <c r="DJ37" s="41"/>
      <c r="DK37" s="41"/>
      <c r="DL37" s="41"/>
      <c r="DM37" s="41"/>
      <c r="DN37" s="41"/>
      <c r="DO37" s="41"/>
      <c r="DP37" s="41"/>
      <c r="DQ37" s="41"/>
      <c r="DR37" s="41"/>
      <c r="DS37" s="41"/>
      <c r="DT37" s="41"/>
      <c r="DU37" s="41"/>
      <c r="DV37" s="41"/>
      <c r="DW37" s="41"/>
      <c r="DX37" s="41"/>
      <c r="DY37" s="41"/>
      <c r="DZ37" s="41"/>
      <c r="EA37" s="41"/>
      <c r="EB37" s="41"/>
      <c r="EC37" s="41"/>
      <c r="ED37" s="41"/>
      <c r="EE37" s="41"/>
      <c r="EF37" s="41"/>
      <c r="EG37" s="41"/>
      <c r="EH37" s="41"/>
      <c r="EI37" s="41"/>
      <c r="EJ37" s="41"/>
      <c r="EK37" s="41"/>
      <c r="EL37" s="41"/>
      <c r="EM37" s="41"/>
      <c r="EN37" s="41"/>
      <c r="EO37" s="41"/>
      <c r="EP37" s="41"/>
      <c r="EQ37" s="41"/>
      <c r="ER37" s="41"/>
      <c r="ES37" s="41"/>
      <c r="ET37" s="41"/>
      <c r="EU37" s="41"/>
      <c r="EV37" s="41"/>
      <c r="EW37" s="41"/>
      <c r="EX37" s="41"/>
      <c r="EY37" s="41"/>
      <c r="EZ37" s="41"/>
      <c r="FA37" s="41"/>
      <c r="FB37" s="41"/>
      <c r="FC37" s="41"/>
      <c r="FD37" s="41"/>
      <c r="FE37" s="41"/>
      <c r="FF37" s="41"/>
      <c r="FG37" s="41"/>
      <c r="FH37" s="41"/>
      <c r="FI37" s="41"/>
      <c r="FJ37" s="41"/>
      <c r="FK37" s="41"/>
      <c r="FL37" s="41"/>
      <c r="FM37" s="41"/>
      <c r="FN37" s="41"/>
      <c r="FO37" s="41"/>
      <c r="FP37" s="41"/>
      <c r="FQ37" s="41"/>
      <c r="FR37" s="41"/>
      <c r="FS37" s="41"/>
      <c r="FT37" s="41"/>
    </row>
    <row r="44" spans="2:176" s="46" customFormat="1" ht="15.75" customHeight="1" x14ac:dyDescent="0.2">
      <c r="B44" s="44"/>
      <c r="C44" s="43"/>
      <c r="D44" s="43"/>
      <c r="E44" s="87"/>
      <c r="F44" s="87"/>
      <c r="G44" s="39"/>
      <c r="H44" s="88"/>
      <c r="I44" s="39"/>
      <c r="J44" s="87"/>
      <c r="K44" s="39"/>
      <c r="L44" s="87"/>
      <c r="M44" s="39"/>
      <c r="N44" s="87"/>
      <c r="O44" s="39"/>
      <c r="P44" s="87"/>
      <c r="Q44" s="39"/>
      <c r="R44" s="41"/>
      <c r="S44" s="41"/>
      <c r="T44" s="41"/>
      <c r="U44" s="41"/>
      <c r="V44" s="41"/>
      <c r="W44" s="41"/>
      <c r="X44" s="41"/>
      <c r="Y44" s="89"/>
      <c r="Z44" s="41"/>
      <c r="AA44" s="41"/>
      <c r="AB44" s="41"/>
      <c r="AC44" s="41"/>
      <c r="AP44" s="41"/>
      <c r="AQ44" s="41"/>
      <c r="AR44" s="41"/>
      <c r="AS44" s="41"/>
      <c r="AT44" s="41"/>
      <c r="BJ44" s="41"/>
      <c r="BK44" s="41"/>
      <c r="BL44" s="41"/>
      <c r="BM44" s="41"/>
      <c r="BN44" s="41"/>
      <c r="CD44" s="41"/>
      <c r="CE44" s="41"/>
      <c r="CF44" s="41"/>
      <c r="CG44" s="41"/>
      <c r="CH44" s="41"/>
      <c r="CI44" s="41"/>
      <c r="CJ44" s="41"/>
      <c r="CK44" s="41"/>
      <c r="CL44" s="41"/>
      <c r="CM44" s="41"/>
      <c r="CN44" s="41"/>
      <c r="CO44" s="41"/>
      <c r="CP44" s="41"/>
      <c r="CQ44" s="41"/>
      <c r="CR44" s="41"/>
      <c r="CS44" s="41"/>
      <c r="CT44" s="41"/>
      <c r="CU44" s="41"/>
      <c r="CV44" s="41"/>
      <c r="CW44" s="41"/>
      <c r="CX44" s="41"/>
      <c r="CY44" s="41"/>
      <c r="CZ44" s="41"/>
      <c r="DA44" s="41"/>
      <c r="DB44" s="41"/>
      <c r="DC44" s="41"/>
      <c r="DD44" s="41"/>
      <c r="DE44" s="41"/>
      <c r="DF44" s="41"/>
      <c r="DG44" s="41"/>
      <c r="DH44" s="41"/>
      <c r="DI44" s="41"/>
      <c r="DJ44" s="41"/>
      <c r="DK44" s="41"/>
      <c r="DL44" s="41"/>
      <c r="DM44" s="41"/>
      <c r="DN44" s="41"/>
      <c r="DO44" s="41"/>
      <c r="DP44" s="41"/>
      <c r="DQ44" s="41"/>
      <c r="DR44" s="41"/>
      <c r="DS44" s="41"/>
      <c r="DT44" s="41"/>
      <c r="DU44" s="41"/>
      <c r="DV44" s="41"/>
      <c r="DW44" s="41"/>
      <c r="DX44" s="41"/>
      <c r="DY44" s="41"/>
      <c r="DZ44" s="41"/>
      <c r="EA44" s="41"/>
      <c r="EB44" s="41"/>
      <c r="EC44" s="41"/>
      <c r="ED44" s="41"/>
      <c r="EE44" s="41"/>
      <c r="EF44" s="41"/>
      <c r="EG44" s="41"/>
      <c r="EH44" s="41"/>
      <c r="EI44" s="41"/>
      <c r="EJ44" s="41"/>
      <c r="EK44" s="41"/>
      <c r="EL44" s="41"/>
      <c r="EM44" s="41"/>
      <c r="EN44" s="41"/>
      <c r="EO44" s="41"/>
      <c r="EP44" s="41"/>
      <c r="EQ44" s="41"/>
      <c r="ER44" s="41"/>
      <c r="ES44" s="41"/>
      <c r="ET44" s="41"/>
      <c r="EU44" s="41"/>
      <c r="EV44" s="41"/>
      <c r="EW44" s="41"/>
      <c r="EX44" s="41"/>
      <c r="EY44" s="41"/>
      <c r="EZ44" s="41"/>
      <c r="FA44" s="41"/>
      <c r="FB44" s="41"/>
      <c r="FC44" s="41"/>
      <c r="FD44" s="41"/>
      <c r="FE44" s="41"/>
      <c r="FF44" s="41"/>
      <c r="FG44" s="41"/>
      <c r="FH44" s="41"/>
      <c r="FI44" s="41"/>
      <c r="FJ44" s="41"/>
      <c r="FK44" s="41"/>
      <c r="FL44" s="41"/>
      <c r="FM44" s="41"/>
      <c r="FN44" s="41"/>
      <c r="FO44" s="41"/>
      <c r="FP44" s="41"/>
      <c r="FQ44" s="41"/>
      <c r="FR44" s="41"/>
      <c r="FS44" s="41"/>
      <c r="FT44" s="41"/>
    </row>
  </sheetData>
  <hyperlinks>
    <hyperlink ref="C11" r:id="rId1"/>
    <hyperlink ref="C12" r:id="rId2"/>
    <hyperlink ref="C16" r:id="rId3"/>
    <hyperlink ref="C15" r:id="rId4" location="market-users"/>
  </hyperlinks>
  <pageMargins left="0.78740157499999996" right="0.78740157499999996" top="0.984251969" bottom="0.984251969" header="0.4921259845" footer="0.4921259845"/>
  <pageSetup paperSize="9" scale="61" orientation="landscape" r:id="rId5"/>
  <headerFooter alignWithMargins="0"/>
  <legacyDrawing r:id="rId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W260"/>
  <sheetViews>
    <sheetView zoomScale="120" zoomScaleNormal="120" workbookViewId="0">
      <pane xSplit="1" topLeftCell="B1" activePane="topRight" state="frozen"/>
      <selection pane="topRight" activeCell="E46" sqref="E46"/>
    </sheetView>
  </sheetViews>
  <sheetFormatPr baseColWidth="10" defaultRowHeight="12.75" x14ac:dyDescent="0.2"/>
  <cols>
    <col min="1" max="1" width="43.42578125" style="44" customWidth="1"/>
    <col min="2" max="3" width="8.140625" style="43" customWidth="1"/>
    <col min="4" max="5" width="8.140625" style="44" customWidth="1"/>
    <col min="6" max="9" width="9.5703125" style="44" customWidth="1"/>
    <col min="10" max="20" width="9.85546875" style="44" customWidth="1"/>
    <col min="21" max="21" width="2.140625" style="44" customWidth="1"/>
    <col min="22" max="24" width="11.140625" style="44" customWidth="1"/>
    <col min="25" max="25" width="2.140625" style="45" customWidth="1"/>
    <col min="26" max="26" width="10.7109375" style="44" customWidth="1"/>
    <col min="27" max="27" width="2.140625" style="45" customWidth="1"/>
    <col min="28" max="42" width="10.7109375" style="46" customWidth="1"/>
    <col min="43" max="47" width="10.7109375" style="41" customWidth="1"/>
    <col min="48" max="48" width="2.140625" style="45" customWidth="1"/>
    <col min="49" max="63" width="10.7109375" style="46" customWidth="1"/>
    <col min="64" max="68" width="10.7109375" style="41" customWidth="1"/>
    <col min="69" max="69" width="2.140625" style="45" customWidth="1"/>
    <col min="70" max="84" width="10.7109375" style="46" customWidth="1"/>
    <col min="85" max="89" width="10.7109375" style="41" customWidth="1"/>
    <col min="90" max="16384" width="11.42578125" style="41"/>
  </cols>
  <sheetData>
    <row r="1" spans="1:179" s="46" customFormat="1" ht="10.5" customHeight="1" x14ac:dyDescent="0.2">
      <c r="A1" s="661" t="s">
        <v>127</v>
      </c>
      <c r="B1" s="663" t="s">
        <v>128</v>
      </c>
      <c r="C1" s="664"/>
      <c r="D1" s="665" t="s">
        <v>108</v>
      </c>
      <c r="E1" s="666"/>
      <c r="F1" s="654" t="s">
        <v>161</v>
      </c>
      <c r="G1" s="655"/>
      <c r="H1" s="655"/>
      <c r="I1" s="656"/>
      <c r="J1" s="90">
        <v>2020</v>
      </c>
      <c r="K1" s="654" t="s">
        <v>185</v>
      </c>
      <c r="L1" s="655"/>
      <c r="M1" s="655"/>
      <c r="N1" s="656"/>
      <c r="O1" s="90">
        <v>2021</v>
      </c>
      <c r="P1" s="654" t="s">
        <v>233</v>
      </c>
      <c r="Q1" s="655"/>
      <c r="R1" s="655"/>
      <c r="S1" s="656"/>
      <c r="T1" s="91">
        <v>2022</v>
      </c>
      <c r="U1" s="94"/>
      <c r="V1" s="92">
        <v>2023</v>
      </c>
      <c r="W1" s="90">
        <v>2024</v>
      </c>
      <c r="X1" s="93">
        <v>2025</v>
      </c>
      <c r="Y1" s="94"/>
      <c r="Z1" s="566" t="s">
        <v>238</v>
      </c>
      <c r="AA1" s="603"/>
      <c r="AB1" s="602">
        <v>2020</v>
      </c>
      <c r="AC1" s="95">
        <v>2020</v>
      </c>
      <c r="AD1" s="95">
        <v>2020</v>
      </c>
      <c r="AE1" s="90" t="s">
        <v>9</v>
      </c>
      <c r="AF1" s="584" t="s">
        <v>9</v>
      </c>
      <c r="AG1" s="602">
        <v>2020</v>
      </c>
      <c r="AH1" s="95">
        <v>2020</v>
      </c>
      <c r="AI1" s="95">
        <v>2020</v>
      </c>
      <c r="AJ1" s="90" t="s">
        <v>8</v>
      </c>
      <c r="AK1" s="584" t="s">
        <v>8</v>
      </c>
      <c r="AL1" s="602">
        <v>2020</v>
      </c>
      <c r="AM1" s="95">
        <v>2020</v>
      </c>
      <c r="AN1" s="95">
        <v>2020</v>
      </c>
      <c r="AO1" s="90" t="s">
        <v>11</v>
      </c>
      <c r="AP1" s="584" t="s">
        <v>11</v>
      </c>
      <c r="AQ1" s="602">
        <v>2020</v>
      </c>
      <c r="AR1" s="95">
        <v>2020</v>
      </c>
      <c r="AS1" s="95">
        <v>2020</v>
      </c>
      <c r="AT1" s="90" t="s">
        <v>12</v>
      </c>
      <c r="AU1" s="584" t="s">
        <v>12</v>
      </c>
      <c r="AV1" s="603"/>
      <c r="AW1" s="602">
        <v>2021</v>
      </c>
      <c r="AX1" s="96">
        <v>2021</v>
      </c>
      <c r="AY1" s="96">
        <v>2021</v>
      </c>
      <c r="AZ1" s="90" t="s">
        <v>188</v>
      </c>
      <c r="BA1" s="584" t="s">
        <v>188</v>
      </c>
      <c r="BB1" s="602">
        <v>2021</v>
      </c>
      <c r="BC1" s="96">
        <v>2021</v>
      </c>
      <c r="BD1" s="96">
        <v>2021</v>
      </c>
      <c r="BE1" s="90" t="s">
        <v>189</v>
      </c>
      <c r="BF1" s="584" t="s">
        <v>189</v>
      </c>
      <c r="BG1" s="602">
        <v>2021</v>
      </c>
      <c r="BH1" s="96">
        <v>2021</v>
      </c>
      <c r="BI1" s="96">
        <v>2021</v>
      </c>
      <c r="BJ1" s="90" t="s">
        <v>190</v>
      </c>
      <c r="BK1" s="584" t="s">
        <v>190</v>
      </c>
      <c r="BL1" s="586">
        <v>2021</v>
      </c>
      <c r="BM1" s="97">
        <v>2021</v>
      </c>
      <c r="BN1" s="97">
        <v>2021</v>
      </c>
      <c r="BO1" s="90" t="s">
        <v>187</v>
      </c>
      <c r="BP1" s="584" t="s">
        <v>187</v>
      </c>
      <c r="BQ1" s="94"/>
      <c r="BR1" s="586">
        <v>2022</v>
      </c>
      <c r="BS1" s="97">
        <v>2022</v>
      </c>
      <c r="BT1" s="97">
        <v>2022</v>
      </c>
      <c r="BU1" s="90" t="s">
        <v>234</v>
      </c>
      <c r="BV1" s="584" t="s">
        <v>234</v>
      </c>
      <c r="BW1" s="586">
        <v>2022</v>
      </c>
      <c r="BX1" s="97">
        <v>2022</v>
      </c>
      <c r="BY1" s="97">
        <v>2022</v>
      </c>
      <c r="BZ1" s="90" t="s">
        <v>235</v>
      </c>
      <c r="CA1" s="584" t="s">
        <v>235</v>
      </c>
      <c r="CB1" s="586">
        <v>2022</v>
      </c>
      <c r="CC1" s="97">
        <v>2022</v>
      </c>
      <c r="CD1" s="97">
        <v>2022</v>
      </c>
      <c r="CE1" s="90" t="s">
        <v>236</v>
      </c>
      <c r="CF1" s="584" t="s">
        <v>236</v>
      </c>
      <c r="CG1" s="586">
        <v>2022</v>
      </c>
      <c r="CH1" s="97">
        <v>2022</v>
      </c>
      <c r="CI1" s="97">
        <v>2022</v>
      </c>
      <c r="CJ1" s="90" t="s">
        <v>237</v>
      </c>
      <c r="CK1" s="584" t="s">
        <v>237</v>
      </c>
    </row>
    <row r="2" spans="1:179" s="46" customFormat="1" ht="10.5" customHeight="1" thickBot="1" x14ac:dyDescent="0.25">
      <c r="A2" s="662"/>
      <c r="B2" s="657" t="s">
        <v>108</v>
      </c>
      <c r="C2" s="658"/>
      <c r="D2" s="659" t="s">
        <v>129</v>
      </c>
      <c r="E2" s="660"/>
      <c r="F2" s="98" t="s">
        <v>215</v>
      </c>
      <c r="G2" s="99" t="s">
        <v>216</v>
      </c>
      <c r="H2" s="99" t="s">
        <v>6</v>
      </c>
      <c r="I2" s="100" t="s">
        <v>7</v>
      </c>
      <c r="J2" s="101" t="s">
        <v>162</v>
      </c>
      <c r="K2" s="98" t="s">
        <v>4</v>
      </c>
      <c r="L2" s="99" t="s">
        <v>5</v>
      </c>
      <c r="M2" s="99" t="s">
        <v>6</v>
      </c>
      <c r="N2" s="100" t="s">
        <v>7</v>
      </c>
      <c r="O2" s="101" t="s">
        <v>162</v>
      </c>
      <c r="P2" s="98" t="s">
        <v>4</v>
      </c>
      <c r="Q2" s="99" t="s">
        <v>5</v>
      </c>
      <c r="R2" s="99" t="s">
        <v>6</v>
      </c>
      <c r="S2" s="100" t="s">
        <v>7</v>
      </c>
      <c r="T2" s="102" t="s">
        <v>162</v>
      </c>
      <c r="U2" s="563"/>
      <c r="V2" s="667" t="s">
        <v>186</v>
      </c>
      <c r="W2" s="668"/>
      <c r="X2" s="669"/>
      <c r="Y2" s="103"/>
      <c r="Z2" s="565" t="s">
        <v>163</v>
      </c>
      <c r="AA2" s="604"/>
      <c r="AB2" s="587" t="s">
        <v>164</v>
      </c>
      <c r="AC2" s="104" t="s">
        <v>172</v>
      </c>
      <c r="AD2" s="104" t="s">
        <v>165</v>
      </c>
      <c r="AE2" s="105" t="s">
        <v>171</v>
      </c>
      <c r="AF2" s="585" t="s">
        <v>10</v>
      </c>
      <c r="AG2" s="587" t="s">
        <v>0</v>
      </c>
      <c r="AH2" s="104" t="s">
        <v>166</v>
      </c>
      <c r="AI2" s="104" t="s">
        <v>167</v>
      </c>
      <c r="AJ2" s="105" t="s">
        <v>171</v>
      </c>
      <c r="AK2" s="585" t="s">
        <v>10</v>
      </c>
      <c r="AL2" s="587" t="s">
        <v>168</v>
      </c>
      <c r="AM2" s="104" t="s">
        <v>1</v>
      </c>
      <c r="AN2" s="104" t="s">
        <v>2</v>
      </c>
      <c r="AO2" s="105" t="s">
        <v>171</v>
      </c>
      <c r="AP2" s="585" t="s">
        <v>10</v>
      </c>
      <c r="AQ2" s="587" t="s">
        <v>169</v>
      </c>
      <c r="AR2" s="104" t="s">
        <v>3</v>
      </c>
      <c r="AS2" s="104" t="s">
        <v>170</v>
      </c>
      <c r="AT2" s="105" t="s">
        <v>171</v>
      </c>
      <c r="AU2" s="585" t="s">
        <v>10</v>
      </c>
      <c r="AV2" s="604"/>
      <c r="AW2" s="587" t="s">
        <v>164</v>
      </c>
      <c r="AX2" s="104" t="s">
        <v>172</v>
      </c>
      <c r="AY2" s="104" t="s">
        <v>165</v>
      </c>
      <c r="AZ2" s="105" t="s">
        <v>171</v>
      </c>
      <c r="BA2" s="585" t="s">
        <v>10</v>
      </c>
      <c r="BB2" s="587" t="s">
        <v>0</v>
      </c>
      <c r="BC2" s="104" t="s">
        <v>166</v>
      </c>
      <c r="BD2" s="104" t="s">
        <v>167</v>
      </c>
      <c r="BE2" s="105" t="s">
        <v>171</v>
      </c>
      <c r="BF2" s="585" t="s">
        <v>10</v>
      </c>
      <c r="BG2" s="587" t="s">
        <v>168</v>
      </c>
      <c r="BH2" s="104" t="s">
        <v>1</v>
      </c>
      <c r="BI2" s="104" t="s">
        <v>2</v>
      </c>
      <c r="BJ2" s="105" t="s">
        <v>171</v>
      </c>
      <c r="BK2" s="585" t="s">
        <v>10</v>
      </c>
      <c r="BL2" s="587" t="s">
        <v>169</v>
      </c>
      <c r="BM2" s="104" t="s">
        <v>3</v>
      </c>
      <c r="BN2" s="104" t="s">
        <v>170</v>
      </c>
      <c r="BO2" s="105" t="s">
        <v>171</v>
      </c>
      <c r="BP2" s="585" t="s">
        <v>10</v>
      </c>
      <c r="BQ2" s="103"/>
      <c r="BR2" s="587" t="s">
        <v>164</v>
      </c>
      <c r="BS2" s="104" t="s">
        <v>172</v>
      </c>
      <c r="BT2" s="104" t="s">
        <v>165</v>
      </c>
      <c r="BU2" s="105" t="s">
        <v>171</v>
      </c>
      <c r="BV2" s="585" t="s">
        <v>10</v>
      </c>
      <c r="BW2" s="587" t="s">
        <v>0</v>
      </c>
      <c r="BX2" s="104" t="s">
        <v>166</v>
      </c>
      <c r="BY2" s="104" t="s">
        <v>167</v>
      </c>
      <c r="BZ2" s="105" t="s">
        <v>171</v>
      </c>
      <c r="CA2" s="585" t="s">
        <v>10</v>
      </c>
      <c r="CB2" s="587" t="s">
        <v>168</v>
      </c>
      <c r="CC2" s="104" t="s">
        <v>1</v>
      </c>
      <c r="CD2" s="104" t="s">
        <v>2</v>
      </c>
      <c r="CE2" s="105" t="s">
        <v>171</v>
      </c>
      <c r="CF2" s="585" t="s">
        <v>10</v>
      </c>
      <c r="CG2" s="587" t="s">
        <v>169</v>
      </c>
      <c r="CH2" s="104" t="s">
        <v>3</v>
      </c>
      <c r="CI2" s="104" t="s">
        <v>170</v>
      </c>
      <c r="CJ2" s="105" t="s">
        <v>171</v>
      </c>
      <c r="CK2" s="585" t="s">
        <v>10</v>
      </c>
    </row>
    <row r="3" spans="1:179" s="116" customFormat="1" ht="10.5" customHeight="1" x14ac:dyDescent="0.15">
      <c r="A3" s="467" t="s">
        <v>212</v>
      </c>
      <c r="B3" s="106"/>
      <c r="C3" s="107"/>
      <c r="D3" s="106"/>
      <c r="E3" s="108"/>
      <c r="F3" s="478"/>
      <c r="G3" s="479"/>
      <c r="H3" s="479"/>
      <c r="I3" s="479"/>
      <c r="J3" s="109"/>
      <c r="K3" s="479"/>
      <c r="L3" s="479"/>
      <c r="M3" s="479"/>
      <c r="N3" s="479"/>
      <c r="O3" s="110"/>
      <c r="P3" s="479"/>
      <c r="Q3" s="479"/>
      <c r="R3" s="479"/>
      <c r="S3" s="479"/>
      <c r="T3" s="111"/>
      <c r="U3" s="114"/>
      <c r="V3" s="408"/>
      <c r="W3" s="409"/>
      <c r="X3" s="539"/>
      <c r="Y3" s="114"/>
      <c r="Z3" s="567"/>
      <c r="AA3" s="605"/>
      <c r="AB3" s="478"/>
      <c r="AC3" s="479"/>
      <c r="AD3" s="479"/>
      <c r="AE3" s="479"/>
      <c r="AF3" s="115"/>
      <c r="AG3" s="478"/>
      <c r="AH3" s="479"/>
      <c r="AI3" s="479"/>
      <c r="AJ3" s="479"/>
      <c r="AK3" s="115"/>
      <c r="AL3" s="478"/>
      <c r="AM3" s="479"/>
      <c r="AN3" s="479"/>
      <c r="AO3" s="479"/>
      <c r="AP3" s="115"/>
      <c r="AQ3" s="478"/>
      <c r="AR3" s="479"/>
      <c r="AS3" s="479"/>
      <c r="AT3" s="479"/>
      <c r="AU3" s="115"/>
      <c r="AV3" s="605"/>
      <c r="AW3" s="478"/>
      <c r="AX3" s="479"/>
      <c r="AY3" s="479"/>
      <c r="AZ3" s="479"/>
      <c r="BA3" s="115"/>
      <c r="BB3" s="478"/>
      <c r="BC3" s="479"/>
      <c r="BD3" s="479"/>
      <c r="BE3" s="479"/>
      <c r="BF3" s="115"/>
      <c r="BG3" s="478"/>
      <c r="BH3" s="479"/>
      <c r="BI3" s="479"/>
      <c r="BJ3" s="479"/>
      <c r="BK3" s="115"/>
      <c r="BL3" s="478"/>
      <c r="BM3" s="479"/>
      <c r="BN3" s="479"/>
      <c r="BO3" s="479"/>
      <c r="BP3" s="115"/>
      <c r="BQ3" s="114"/>
      <c r="BR3" s="478"/>
      <c r="BS3" s="479"/>
      <c r="BT3" s="479"/>
      <c r="BU3" s="479"/>
      <c r="BV3" s="115"/>
      <c r="BW3" s="478"/>
      <c r="BX3" s="479"/>
      <c r="BY3" s="479"/>
      <c r="BZ3" s="479"/>
      <c r="CA3" s="115"/>
      <c r="CB3" s="478"/>
      <c r="CC3" s="479"/>
      <c r="CD3" s="479"/>
      <c r="CE3" s="479"/>
      <c r="CF3" s="115"/>
      <c r="CG3" s="478"/>
      <c r="CH3" s="479"/>
      <c r="CI3" s="479"/>
      <c r="CJ3" s="479"/>
      <c r="CK3" s="115"/>
    </row>
    <row r="4" spans="1:179" s="57" customFormat="1" ht="9.75" customHeight="1" x14ac:dyDescent="0.15">
      <c r="A4" s="468" t="s">
        <v>130</v>
      </c>
      <c r="B4" s="117">
        <f>B45</f>
        <v>0.3</v>
      </c>
      <c r="C4" s="118">
        <f>C45</f>
        <v>10000000</v>
      </c>
      <c r="D4" s="670" t="s">
        <v>160</v>
      </c>
      <c r="E4" s="671"/>
      <c r="F4" s="480">
        <f>SUM(1000/G44)</f>
        <v>200</v>
      </c>
      <c r="G4" s="481">
        <f>SUM((F45+F46)/G44)</f>
        <v>200</v>
      </c>
      <c r="H4" s="481">
        <f>SUM((G45+G46)/H44)</f>
        <v>3888.8888888888887</v>
      </c>
      <c r="I4" s="481">
        <f>SUM((H45+H46)/I44)</f>
        <v>3333.3333333333335</v>
      </c>
      <c r="J4" s="119">
        <f>SUM(F4+G4+H4+I4)*3</f>
        <v>22866.666666666668</v>
      </c>
      <c r="K4" s="482">
        <f>SUM((I45+I46)/K44)</f>
        <v>2222.2222222222226</v>
      </c>
      <c r="L4" s="482">
        <f>SUM((K45+K46)/L44)</f>
        <v>1666.6666666666667</v>
      </c>
      <c r="M4" s="482">
        <f>SUM((L45+L46)/M44)</f>
        <v>0</v>
      </c>
      <c r="N4" s="482">
        <f>SUM((M45+M46)/N44)</f>
        <v>0</v>
      </c>
      <c r="O4" s="119">
        <f>SUM(K4+L4+M4+N4)*3</f>
        <v>11666.666666666668</v>
      </c>
      <c r="P4" s="482">
        <f>SUM((N45+N46)/P44)</f>
        <v>0</v>
      </c>
      <c r="Q4" s="482">
        <f>SUM((P45+P46)/Q44)</f>
        <v>0</v>
      </c>
      <c r="R4" s="482">
        <f>SUM((Q45+Q46)/R44)</f>
        <v>0</v>
      </c>
      <c r="S4" s="482">
        <f>SUM((R45+R46)/S44)</f>
        <v>0</v>
      </c>
      <c r="T4" s="120">
        <f>SUM(P4+Q4+R4+S4)*3</f>
        <v>0</v>
      </c>
      <c r="U4" s="123"/>
      <c r="V4" s="410">
        <f>SUM(V45/V44)</f>
        <v>0</v>
      </c>
      <c r="W4" s="411">
        <f>SUM(W45/W44)</f>
        <v>0</v>
      </c>
      <c r="X4" s="540">
        <f>SUM(X45/X44)</f>
        <v>0</v>
      </c>
      <c r="Y4" s="123"/>
      <c r="Z4" s="568">
        <v>0</v>
      </c>
      <c r="AA4" s="606"/>
      <c r="AB4" s="480">
        <f t="shared" ref="AB4:AB15" si="0">F4</f>
        <v>200</v>
      </c>
      <c r="AC4" s="482">
        <f t="shared" ref="AC4:AC15" si="1">F4</f>
        <v>200</v>
      </c>
      <c r="AD4" s="482">
        <f t="shared" ref="AD4:AD15" si="2">F4</f>
        <v>200</v>
      </c>
      <c r="AE4" s="482">
        <f>SUM(AB4:AD4)</f>
        <v>600</v>
      </c>
      <c r="AF4" s="124"/>
      <c r="AG4" s="480">
        <f t="shared" ref="AG4:AG15" si="3">G4</f>
        <v>200</v>
      </c>
      <c r="AH4" s="482">
        <f t="shared" ref="AH4:AH15" si="4">G4</f>
        <v>200</v>
      </c>
      <c r="AI4" s="482">
        <f t="shared" ref="AI4:AI15" si="5">G4</f>
        <v>200</v>
      </c>
      <c r="AJ4" s="482">
        <f>SUM(AG4:AI4)</f>
        <v>600</v>
      </c>
      <c r="AK4" s="124"/>
      <c r="AL4" s="480">
        <f t="shared" ref="AL4:AL15" si="6">H4</f>
        <v>3888.8888888888887</v>
      </c>
      <c r="AM4" s="482">
        <f t="shared" ref="AM4:AM15" si="7">H4</f>
        <v>3888.8888888888887</v>
      </c>
      <c r="AN4" s="482">
        <f t="shared" ref="AN4:AN15" si="8">H4</f>
        <v>3888.8888888888887</v>
      </c>
      <c r="AO4" s="482">
        <f>SUM(AL4:AN4)</f>
        <v>11666.666666666666</v>
      </c>
      <c r="AP4" s="124"/>
      <c r="AQ4" s="480">
        <f t="shared" ref="AQ4:AQ15" si="9">I4</f>
        <v>3333.3333333333335</v>
      </c>
      <c r="AR4" s="482">
        <f t="shared" ref="AR4:AR15" si="10">I4</f>
        <v>3333.3333333333335</v>
      </c>
      <c r="AS4" s="482">
        <f t="shared" ref="AS4:AS15" si="11">I4</f>
        <v>3333.3333333333335</v>
      </c>
      <c r="AT4" s="482">
        <f>SUM(AQ4:AS4)</f>
        <v>10000</v>
      </c>
      <c r="AU4" s="124"/>
      <c r="AV4" s="606"/>
      <c r="AW4" s="480">
        <f t="shared" ref="AW4:AW15" si="12">K4</f>
        <v>2222.2222222222226</v>
      </c>
      <c r="AX4" s="482">
        <f t="shared" ref="AX4:AX15" si="13">K4</f>
        <v>2222.2222222222226</v>
      </c>
      <c r="AY4" s="482">
        <f t="shared" ref="AY4:AY15" si="14">K4</f>
        <v>2222.2222222222226</v>
      </c>
      <c r="AZ4" s="482">
        <f>SUM(AW4:AY4)</f>
        <v>6666.6666666666679</v>
      </c>
      <c r="BA4" s="124"/>
      <c r="BB4" s="480">
        <f t="shared" ref="BB4:BB15" si="15">L4</f>
        <v>1666.6666666666667</v>
      </c>
      <c r="BC4" s="482">
        <f t="shared" ref="BC4:BC15" si="16">L4</f>
        <v>1666.6666666666667</v>
      </c>
      <c r="BD4" s="482">
        <f t="shared" ref="BD4:BD15" si="17">L4</f>
        <v>1666.6666666666667</v>
      </c>
      <c r="BE4" s="482">
        <f>SUM(BB4:BD4)</f>
        <v>5000</v>
      </c>
      <c r="BF4" s="124"/>
      <c r="BG4" s="480">
        <f t="shared" ref="BG4:BG15" si="18">M4</f>
        <v>0</v>
      </c>
      <c r="BH4" s="482">
        <f t="shared" ref="BH4:BH15" si="19">M4</f>
        <v>0</v>
      </c>
      <c r="BI4" s="482">
        <f t="shared" ref="BI4:BI15" si="20">M4</f>
        <v>0</v>
      </c>
      <c r="BJ4" s="482">
        <f>SUM(BG4:BI4)</f>
        <v>0</v>
      </c>
      <c r="BK4" s="124"/>
      <c r="BL4" s="480">
        <f t="shared" ref="BL4:BL15" si="21">N4</f>
        <v>0</v>
      </c>
      <c r="BM4" s="482">
        <f t="shared" ref="BM4:BM15" si="22">N4</f>
        <v>0</v>
      </c>
      <c r="BN4" s="482">
        <f t="shared" ref="BN4:BN15" si="23">N4</f>
        <v>0</v>
      </c>
      <c r="BO4" s="482">
        <f>SUM(BL4:BN4)</f>
        <v>0</v>
      </c>
      <c r="BP4" s="124"/>
      <c r="BQ4" s="123"/>
      <c r="BR4" s="480">
        <f t="shared" ref="BR4:BR15" si="24">P4</f>
        <v>0</v>
      </c>
      <c r="BS4" s="482">
        <f t="shared" ref="BS4:BS15" si="25">P4</f>
        <v>0</v>
      </c>
      <c r="BT4" s="482">
        <f t="shared" ref="BT4:BT15" si="26">P4</f>
        <v>0</v>
      </c>
      <c r="BU4" s="482">
        <f>SUM(BR4:BT4)</f>
        <v>0</v>
      </c>
      <c r="BV4" s="124"/>
      <c r="BW4" s="480">
        <f t="shared" ref="BW4:BW15" si="27">Q4</f>
        <v>0</v>
      </c>
      <c r="BX4" s="482">
        <f t="shared" ref="BX4:BX15" si="28">Q4</f>
        <v>0</v>
      </c>
      <c r="BY4" s="482">
        <f t="shared" ref="BY4:BY15" si="29">Q4</f>
        <v>0</v>
      </c>
      <c r="BZ4" s="482">
        <f>SUM(BW4:BY4)</f>
        <v>0</v>
      </c>
      <c r="CA4" s="124"/>
      <c r="CB4" s="480">
        <f t="shared" ref="CB4:CB15" si="30">R4</f>
        <v>0</v>
      </c>
      <c r="CC4" s="482">
        <f t="shared" ref="CC4:CC15" si="31">R4</f>
        <v>0</v>
      </c>
      <c r="CD4" s="482">
        <f t="shared" ref="CD4:CD15" si="32">R4</f>
        <v>0</v>
      </c>
      <c r="CE4" s="482">
        <f>SUM(CB4:CD4)</f>
        <v>0</v>
      </c>
      <c r="CF4" s="124"/>
      <c r="CG4" s="480">
        <f t="shared" ref="CG4:CG15" si="33">S4</f>
        <v>0</v>
      </c>
      <c r="CH4" s="482">
        <f t="shared" ref="CH4:CH15" si="34">S4</f>
        <v>0</v>
      </c>
      <c r="CI4" s="482">
        <f t="shared" ref="CI4:CI15" si="35">S4</f>
        <v>0</v>
      </c>
      <c r="CJ4" s="482">
        <f>SUM(CG4:CI4)</f>
        <v>0</v>
      </c>
      <c r="CK4" s="124"/>
    </row>
    <row r="5" spans="1:179" s="57" customFormat="1" ht="9.75" customHeight="1" x14ac:dyDescent="0.15">
      <c r="A5" s="468" t="s">
        <v>131</v>
      </c>
      <c r="B5" s="125">
        <v>500</v>
      </c>
      <c r="C5" s="126">
        <v>0.08</v>
      </c>
      <c r="D5" s="674">
        <f>SUM('Your Estimation'!B28)</f>
        <v>0</v>
      </c>
      <c r="E5" s="675"/>
      <c r="F5" s="127">
        <v>1500</v>
      </c>
      <c r="G5" s="128">
        <v>2000</v>
      </c>
      <c r="H5" s="482">
        <f>SUM('Your Estimation'!B28)</f>
        <v>0</v>
      </c>
      <c r="I5" s="482">
        <f>SUM('Your Estimation'!B28)</f>
        <v>0</v>
      </c>
      <c r="J5" s="119">
        <f>SUM(F5+G5+H5+I5)*3</f>
        <v>10500</v>
      </c>
      <c r="K5" s="482">
        <f>SUM('Your Estimation'!B28)</f>
        <v>0</v>
      </c>
      <c r="L5" s="482">
        <f>SUM('Your Estimation'!B28)</f>
        <v>0</v>
      </c>
      <c r="M5" s="482">
        <f>SUM('Your Estimation'!B28)</f>
        <v>0</v>
      </c>
      <c r="N5" s="482">
        <f>SUM('Your Estimation'!B28)</f>
        <v>0</v>
      </c>
      <c r="O5" s="119">
        <f>SUM(K5+L5+M5+N5)*3</f>
        <v>0</v>
      </c>
      <c r="P5" s="482">
        <f>SUM('Your Estimation'!B28)</f>
        <v>0</v>
      </c>
      <c r="Q5" s="482">
        <f>SUM('Your Estimation'!B28)</f>
        <v>0</v>
      </c>
      <c r="R5" s="482">
        <f>SUM('Your Estimation'!B28)</f>
        <v>0</v>
      </c>
      <c r="S5" s="482">
        <f>SUM('Your Estimation'!B28)</f>
        <v>0</v>
      </c>
      <c r="T5" s="120">
        <f>SUM(P5+Q5+R5+S5)*3</f>
        <v>0</v>
      </c>
      <c r="U5" s="123"/>
      <c r="V5" s="410">
        <f>SUM('Your Estimation'!B28)*12</f>
        <v>0</v>
      </c>
      <c r="W5" s="411">
        <f>SUM('Your Estimation'!B28)*12</f>
        <v>0</v>
      </c>
      <c r="X5" s="540">
        <f>SUM('Your Estimation'!B28)*12</f>
        <v>0</v>
      </c>
      <c r="Y5" s="123"/>
      <c r="Z5" s="568">
        <v>2300</v>
      </c>
      <c r="AA5" s="606"/>
      <c r="AB5" s="480">
        <f t="shared" si="0"/>
        <v>1500</v>
      </c>
      <c r="AC5" s="482">
        <f t="shared" si="1"/>
        <v>1500</v>
      </c>
      <c r="AD5" s="482">
        <f t="shared" si="2"/>
        <v>1500</v>
      </c>
      <c r="AE5" s="482">
        <f>SUM(AB5:AD5)</f>
        <v>4500</v>
      </c>
      <c r="AF5" s="124"/>
      <c r="AG5" s="480">
        <f t="shared" si="3"/>
        <v>2000</v>
      </c>
      <c r="AH5" s="482">
        <f t="shared" si="4"/>
        <v>2000</v>
      </c>
      <c r="AI5" s="482">
        <f t="shared" si="5"/>
        <v>2000</v>
      </c>
      <c r="AJ5" s="482">
        <f>SUM(AG5:AI5)</f>
        <v>6000</v>
      </c>
      <c r="AK5" s="124"/>
      <c r="AL5" s="480">
        <f t="shared" si="6"/>
        <v>0</v>
      </c>
      <c r="AM5" s="482">
        <f t="shared" si="7"/>
        <v>0</v>
      </c>
      <c r="AN5" s="482">
        <f t="shared" si="8"/>
        <v>0</v>
      </c>
      <c r="AO5" s="482">
        <f>SUM(AL5:AN5)</f>
        <v>0</v>
      </c>
      <c r="AP5" s="124"/>
      <c r="AQ5" s="480">
        <f t="shared" si="9"/>
        <v>0</v>
      </c>
      <c r="AR5" s="482">
        <f t="shared" si="10"/>
        <v>0</v>
      </c>
      <c r="AS5" s="482">
        <f t="shared" si="11"/>
        <v>0</v>
      </c>
      <c r="AT5" s="482">
        <f>SUM(AQ5:AS5)</f>
        <v>0</v>
      </c>
      <c r="AU5" s="124"/>
      <c r="AV5" s="606"/>
      <c r="AW5" s="480">
        <f t="shared" si="12"/>
        <v>0</v>
      </c>
      <c r="AX5" s="482">
        <f t="shared" si="13"/>
        <v>0</v>
      </c>
      <c r="AY5" s="482">
        <f t="shared" si="14"/>
        <v>0</v>
      </c>
      <c r="AZ5" s="482">
        <f>SUM(AW5:AY5)</f>
        <v>0</v>
      </c>
      <c r="BA5" s="124"/>
      <c r="BB5" s="480">
        <f t="shared" si="15"/>
        <v>0</v>
      </c>
      <c r="BC5" s="482">
        <f t="shared" si="16"/>
        <v>0</v>
      </c>
      <c r="BD5" s="482">
        <f t="shared" si="17"/>
        <v>0</v>
      </c>
      <c r="BE5" s="482">
        <f>SUM(BB5:BD5)</f>
        <v>0</v>
      </c>
      <c r="BF5" s="124"/>
      <c r="BG5" s="480">
        <f t="shared" si="18"/>
        <v>0</v>
      </c>
      <c r="BH5" s="482">
        <f t="shared" si="19"/>
        <v>0</v>
      </c>
      <c r="BI5" s="482">
        <f t="shared" si="20"/>
        <v>0</v>
      </c>
      <c r="BJ5" s="482">
        <f>SUM(BG5:BI5)</f>
        <v>0</v>
      </c>
      <c r="BK5" s="124"/>
      <c r="BL5" s="480">
        <f t="shared" si="21"/>
        <v>0</v>
      </c>
      <c r="BM5" s="482">
        <f t="shared" si="22"/>
        <v>0</v>
      </c>
      <c r="BN5" s="482">
        <f t="shared" si="23"/>
        <v>0</v>
      </c>
      <c r="BO5" s="482">
        <f>SUM(BL5:BN5)</f>
        <v>0</v>
      </c>
      <c r="BP5" s="124"/>
      <c r="BQ5" s="123"/>
      <c r="BR5" s="480">
        <f t="shared" si="24"/>
        <v>0</v>
      </c>
      <c r="BS5" s="482">
        <f t="shared" si="25"/>
        <v>0</v>
      </c>
      <c r="BT5" s="482">
        <f t="shared" si="26"/>
        <v>0</v>
      </c>
      <c r="BU5" s="482">
        <f>SUM(BR5:BT5)</f>
        <v>0</v>
      </c>
      <c r="BV5" s="124"/>
      <c r="BW5" s="480">
        <f t="shared" si="27"/>
        <v>0</v>
      </c>
      <c r="BX5" s="482">
        <f t="shared" si="28"/>
        <v>0</v>
      </c>
      <c r="BY5" s="482">
        <f t="shared" si="29"/>
        <v>0</v>
      </c>
      <c r="BZ5" s="482">
        <f>SUM(BW5:BY5)</f>
        <v>0</v>
      </c>
      <c r="CA5" s="124"/>
      <c r="CB5" s="480">
        <f t="shared" si="30"/>
        <v>0</v>
      </c>
      <c r="CC5" s="482">
        <f t="shared" si="31"/>
        <v>0</v>
      </c>
      <c r="CD5" s="482">
        <f t="shared" si="32"/>
        <v>0</v>
      </c>
      <c r="CE5" s="482">
        <f>SUM(CB5:CD5)</f>
        <v>0</v>
      </c>
      <c r="CF5" s="124"/>
      <c r="CG5" s="480">
        <f t="shared" si="33"/>
        <v>0</v>
      </c>
      <c r="CH5" s="482">
        <f t="shared" si="34"/>
        <v>0</v>
      </c>
      <c r="CI5" s="482">
        <f t="shared" si="35"/>
        <v>0</v>
      </c>
      <c r="CJ5" s="482">
        <f>SUM(CG5:CI5)</f>
        <v>0</v>
      </c>
      <c r="CK5" s="124"/>
    </row>
    <row r="6" spans="1:179" s="57" customFormat="1" ht="9.75" customHeight="1" x14ac:dyDescent="0.15">
      <c r="A6" s="468" t="s">
        <v>132</v>
      </c>
      <c r="B6" s="121">
        <v>100</v>
      </c>
      <c r="C6" s="126">
        <v>0.02</v>
      </c>
      <c r="D6" s="129">
        <v>0</v>
      </c>
      <c r="E6" s="474">
        <f>SUM('Your Estimation'!B63)</f>
        <v>0</v>
      </c>
      <c r="F6" s="127">
        <v>0</v>
      </c>
      <c r="G6" s="128">
        <v>100</v>
      </c>
      <c r="H6" s="482">
        <f>SUM(IF(ISBLANK(D6),B6,D6)+(G18*(IF(ISBLANK(E6),C6,E6))))</f>
        <v>0</v>
      </c>
      <c r="I6" s="482">
        <f>SUM(IF(ISBLANK(D6),B6,D6)+(H18*(IF(ISBLANK(E6),C6,E6))))</f>
        <v>0</v>
      </c>
      <c r="J6" s="119">
        <f>SUM(F6+G6+H6+I6)*3</f>
        <v>300</v>
      </c>
      <c r="K6" s="482">
        <f>SUM(IF(ISBLANK(D6),B6,D6)+(I18*(IF(ISBLANK(E6),C6,E6))))</f>
        <v>0</v>
      </c>
      <c r="L6" s="482">
        <f>SUM(IF(ISBLANK(D6),B6,D6)+(K18*(IF(ISBLANK(E6),C6,E6))))</f>
        <v>0</v>
      </c>
      <c r="M6" s="482">
        <f>SUM(IF(ISBLANK(D6),B6,D6)+(L18*(IF(ISBLANK(E6),C6,E6))))</f>
        <v>0</v>
      </c>
      <c r="N6" s="482">
        <f>SUM(IF(ISBLANK(D6),B6,D6)+(M18*(IF(ISBLANK(E6),C6,E6))))</f>
        <v>0</v>
      </c>
      <c r="O6" s="119">
        <f>SUM(K6+L6+M6+N6)*3</f>
        <v>0</v>
      </c>
      <c r="P6" s="482">
        <f>SUM(IF(ISBLANK(D6),B6,D6)+(N18*(IF(ISBLANK(E6),C6,E6))))</f>
        <v>0</v>
      </c>
      <c r="Q6" s="482">
        <f>SUM(IF(ISBLANK(D6),B6,D6)+(P18*(IF(ISBLANK(E6),C6,E6))))</f>
        <v>0</v>
      </c>
      <c r="R6" s="482">
        <f>SUM(IF(ISBLANK(D6),B6,D6)+(Q18*(IF(ISBLANK(E6),C6,E6))))</f>
        <v>0</v>
      </c>
      <c r="S6" s="482">
        <f>SUM(IF(ISBLANK(D6),B6,D6)+(R18*(IF(ISBLANK(E6),C6,E6))))</f>
        <v>0</v>
      </c>
      <c r="T6" s="120">
        <f>SUM(P6+Q6+R6+S6)*3</f>
        <v>0</v>
      </c>
      <c r="U6" s="123"/>
      <c r="V6" s="410">
        <f>SUM(IF(ISBLANK(D6),B6,D6)+(S18*(IF(ISBLANK(E6),C6,E6))))*12</f>
        <v>0</v>
      </c>
      <c r="W6" s="411">
        <f>SUM(IF(ISBLANK(D6),B6,D6)+(V18*(IF(ISBLANK(E6),C6,E6))))*12</f>
        <v>0</v>
      </c>
      <c r="X6" s="540">
        <f>SUM(IF(ISBLANK(D6),B6,D6)+(W18*(IF(ISBLANK(E6),C6,E6))))*12</f>
        <v>0</v>
      </c>
      <c r="Y6" s="123"/>
      <c r="Z6" s="568">
        <v>0</v>
      </c>
      <c r="AA6" s="606"/>
      <c r="AB6" s="480">
        <f t="shared" si="0"/>
        <v>0</v>
      </c>
      <c r="AC6" s="482">
        <f t="shared" si="1"/>
        <v>0</v>
      </c>
      <c r="AD6" s="482">
        <f t="shared" si="2"/>
        <v>0</v>
      </c>
      <c r="AE6" s="482">
        <f t="shared" ref="AE6:AE17" si="36">SUM(AB6:AD6)</f>
        <v>0</v>
      </c>
      <c r="AF6" s="124"/>
      <c r="AG6" s="480">
        <f t="shared" si="3"/>
        <v>100</v>
      </c>
      <c r="AH6" s="482">
        <f t="shared" si="4"/>
        <v>100</v>
      </c>
      <c r="AI6" s="482">
        <f t="shared" si="5"/>
        <v>100</v>
      </c>
      <c r="AJ6" s="482">
        <f t="shared" ref="AJ6:AJ17" si="37">SUM(AG6:AI6)</f>
        <v>300</v>
      </c>
      <c r="AK6" s="124"/>
      <c r="AL6" s="480">
        <f t="shared" si="6"/>
        <v>0</v>
      </c>
      <c r="AM6" s="482">
        <f t="shared" si="7"/>
        <v>0</v>
      </c>
      <c r="AN6" s="482">
        <f t="shared" si="8"/>
        <v>0</v>
      </c>
      <c r="AO6" s="482">
        <f t="shared" ref="AO6:AO17" si="38">SUM(AL6:AN6)</f>
        <v>0</v>
      </c>
      <c r="AP6" s="124"/>
      <c r="AQ6" s="480">
        <f t="shared" si="9"/>
        <v>0</v>
      </c>
      <c r="AR6" s="482">
        <f t="shared" si="10"/>
        <v>0</v>
      </c>
      <c r="AS6" s="482">
        <f t="shared" si="11"/>
        <v>0</v>
      </c>
      <c r="AT6" s="482">
        <f t="shared" ref="AT6:AT17" si="39">SUM(AQ6:AS6)</f>
        <v>0</v>
      </c>
      <c r="AU6" s="124"/>
      <c r="AV6" s="606"/>
      <c r="AW6" s="480">
        <f t="shared" si="12"/>
        <v>0</v>
      </c>
      <c r="AX6" s="482">
        <f t="shared" si="13"/>
        <v>0</v>
      </c>
      <c r="AY6" s="482">
        <f t="shared" si="14"/>
        <v>0</v>
      </c>
      <c r="AZ6" s="482">
        <f t="shared" ref="AZ6:AZ17" si="40">SUM(AW6:AY6)</f>
        <v>0</v>
      </c>
      <c r="BA6" s="124"/>
      <c r="BB6" s="480">
        <f t="shared" si="15"/>
        <v>0</v>
      </c>
      <c r="BC6" s="482">
        <f t="shared" si="16"/>
        <v>0</v>
      </c>
      <c r="BD6" s="482">
        <f t="shared" si="17"/>
        <v>0</v>
      </c>
      <c r="BE6" s="482">
        <f t="shared" ref="BE6:BE17" si="41">SUM(BB6:BD6)</f>
        <v>0</v>
      </c>
      <c r="BF6" s="124"/>
      <c r="BG6" s="480">
        <f t="shared" si="18"/>
        <v>0</v>
      </c>
      <c r="BH6" s="482">
        <f t="shared" si="19"/>
        <v>0</v>
      </c>
      <c r="BI6" s="482">
        <f t="shared" si="20"/>
        <v>0</v>
      </c>
      <c r="BJ6" s="482">
        <f t="shared" ref="BJ6:BJ17" si="42">SUM(BG6:BI6)</f>
        <v>0</v>
      </c>
      <c r="BK6" s="124"/>
      <c r="BL6" s="480">
        <f t="shared" si="21"/>
        <v>0</v>
      </c>
      <c r="BM6" s="482">
        <f t="shared" si="22"/>
        <v>0</v>
      </c>
      <c r="BN6" s="482">
        <f t="shared" si="23"/>
        <v>0</v>
      </c>
      <c r="BO6" s="482">
        <f t="shared" ref="BO6:BO8" si="43">SUM(BL6:BN6)</f>
        <v>0</v>
      </c>
      <c r="BP6" s="124"/>
      <c r="BQ6" s="123"/>
      <c r="BR6" s="480">
        <f t="shared" si="24"/>
        <v>0</v>
      </c>
      <c r="BS6" s="482">
        <f t="shared" si="25"/>
        <v>0</v>
      </c>
      <c r="BT6" s="482">
        <f t="shared" si="26"/>
        <v>0</v>
      </c>
      <c r="BU6" s="482">
        <f t="shared" ref="BU6:BU8" si="44">SUM(BR6:BT6)</f>
        <v>0</v>
      </c>
      <c r="BV6" s="124"/>
      <c r="BW6" s="480">
        <f t="shared" si="27"/>
        <v>0</v>
      </c>
      <c r="BX6" s="482">
        <f t="shared" si="28"/>
        <v>0</v>
      </c>
      <c r="BY6" s="482">
        <f t="shared" si="29"/>
        <v>0</v>
      </c>
      <c r="BZ6" s="482">
        <f t="shared" ref="BZ6:BZ8" si="45">SUM(BW6:BY6)</f>
        <v>0</v>
      </c>
      <c r="CA6" s="124"/>
      <c r="CB6" s="480">
        <f t="shared" si="30"/>
        <v>0</v>
      </c>
      <c r="CC6" s="482">
        <f t="shared" si="31"/>
        <v>0</v>
      </c>
      <c r="CD6" s="482">
        <f t="shared" si="32"/>
        <v>0</v>
      </c>
      <c r="CE6" s="482">
        <f t="shared" ref="CE6:CE7" si="46">SUM(CB6:CD6)</f>
        <v>0</v>
      </c>
      <c r="CF6" s="124"/>
      <c r="CG6" s="480">
        <f t="shared" si="33"/>
        <v>0</v>
      </c>
      <c r="CH6" s="482">
        <f t="shared" si="34"/>
        <v>0</v>
      </c>
      <c r="CI6" s="482">
        <f t="shared" si="35"/>
        <v>0</v>
      </c>
      <c r="CJ6" s="482">
        <f t="shared" ref="CJ6:CJ8" si="47">SUM(CG6:CI6)</f>
        <v>0</v>
      </c>
      <c r="CK6" s="124"/>
    </row>
    <row r="7" spans="1:179" s="57" customFormat="1" ht="9.75" customHeight="1" x14ac:dyDescent="0.15">
      <c r="A7" s="468" t="s">
        <v>133</v>
      </c>
      <c r="B7" s="121">
        <v>100</v>
      </c>
      <c r="C7" s="126">
        <v>4.0000000000000001E-3</v>
      </c>
      <c r="D7" s="129">
        <v>0</v>
      </c>
      <c r="E7" s="425">
        <v>0</v>
      </c>
      <c r="F7" s="127">
        <v>0</v>
      </c>
      <c r="G7" s="128">
        <v>0</v>
      </c>
      <c r="H7" s="128">
        <v>0</v>
      </c>
      <c r="I7" s="128">
        <v>0</v>
      </c>
      <c r="J7" s="119">
        <f>SUM((F7+G7+H7+I7)*3)</f>
        <v>0</v>
      </c>
      <c r="K7" s="482">
        <f>SUM(IF(ISBLANK(D7),B7,D7)+(I18*(IF(ISBLANK(E7),C7,E7))))</f>
        <v>0</v>
      </c>
      <c r="L7" s="482">
        <f>SUM(IF(ISBLANK(D7),B7,D7)+(K18*(IF(ISBLANK(E7),C7,E7))))</f>
        <v>0</v>
      </c>
      <c r="M7" s="482">
        <f>SUM(IF(ISBLANK(D7),B7,D7)+(L18*(IF(ISBLANK(E7),C7,E7))))</f>
        <v>0</v>
      </c>
      <c r="N7" s="482">
        <f>SUM(IF(ISBLANK(D7),B7,D7)+(M18*(IF(ISBLANK(E7),C7,E7))))</f>
        <v>0</v>
      </c>
      <c r="O7" s="119">
        <f>SUM(K7+L7+M7+N7)*3</f>
        <v>0</v>
      </c>
      <c r="P7" s="482">
        <f>SUM(IF(ISBLANK(D7),B7,D7)+(N18*(IF(ISBLANK(E7),C7,E7))))</f>
        <v>0</v>
      </c>
      <c r="Q7" s="482">
        <f>SUM(IF(ISBLANK(D7),B7,D7)+(P18*(IF(ISBLANK(E7),C7,E7))))</f>
        <v>0</v>
      </c>
      <c r="R7" s="482">
        <f>SUM(IF(ISBLANK(D7),B7,D7)+(Q18*(IF(ISBLANK(E7),C7,E7))))</f>
        <v>0</v>
      </c>
      <c r="S7" s="482">
        <f>SUM(IF(ISBLANK(D7),B7,D7)+(R18*(IF(ISBLANK(E7),C7,E7))))</f>
        <v>0</v>
      </c>
      <c r="T7" s="120">
        <f>SUM(P7+Q7+R7+S7)*3</f>
        <v>0</v>
      </c>
      <c r="U7" s="123"/>
      <c r="V7" s="410">
        <f>SUM(IF(ISBLANK(D7),B7,D7)+(S18*(IF(ISBLANK(E7),C7,E7))))*12</f>
        <v>0</v>
      </c>
      <c r="W7" s="411">
        <f>SUM(IF(ISBLANK(D7),B7,D7)+(V18*(IF(ISBLANK(E7),C7,E7))))*12</f>
        <v>0</v>
      </c>
      <c r="X7" s="540">
        <f>SUM(IF(ISBLANK(D7),B7,D7)+(W18*(IF(ISBLANK(E7),C7,E7))))*12</f>
        <v>0</v>
      </c>
      <c r="Y7" s="123"/>
      <c r="Z7" s="568">
        <v>0</v>
      </c>
      <c r="AA7" s="606"/>
      <c r="AB7" s="480">
        <f t="shared" si="0"/>
        <v>0</v>
      </c>
      <c r="AC7" s="482">
        <f t="shared" si="1"/>
        <v>0</v>
      </c>
      <c r="AD7" s="482">
        <f t="shared" si="2"/>
        <v>0</v>
      </c>
      <c r="AE7" s="482">
        <f t="shared" si="36"/>
        <v>0</v>
      </c>
      <c r="AF7" s="124"/>
      <c r="AG7" s="480">
        <f t="shared" si="3"/>
        <v>0</v>
      </c>
      <c r="AH7" s="482">
        <f t="shared" si="4"/>
        <v>0</v>
      </c>
      <c r="AI7" s="482">
        <f t="shared" si="5"/>
        <v>0</v>
      </c>
      <c r="AJ7" s="482">
        <f t="shared" si="37"/>
        <v>0</v>
      </c>
      <c r="AK7" s="124"/>
      <c r="AL7" s="480">
        <f t="shared" si="6"/>
        <v>0</v>
      </c>
      <c r="AM7" s="482">
        <f t="shared" si="7"/>
        <v>0</v>
      </c>
      <c r="AN7" s="482">
        <f t="shared" si="8"/>
        <v>0</v>
      </c>
      <c r="AO7" s="482">
        <f t="shared" si="38"/>
        <v>0</v>
      </c>
      <c r="AP7" s="124"/>
      <c r="AQ7" s="480">
        <f t="shared" si="9"/>
        <v>0</v>
      </c>
      <c r="AR7" s="482">
        <f t="shared" si="10"/>
        <v>0</v>
      </c>
      <c r="AS7" s="482">
        <f t="shared" si="11"/>
        <v>0</v>
      </c>
      <c r="AT7" s="482">
        <f t="shared" si="39"/>
        <v>0</v>
      </c>
      <c r="AU7" s="124"/>
      <c r="AV7" s="606"/>
      <c r="AW7" s="480">
        <f t="shared" si="12"/>
        <v>0</v>
      </c>
      <c r="AX7" s="482">
        <f t="shared" si="13"/>
        <v>0</v>
      </c>
      <c r="AY7" s="482">
        <f t="shared" si="14"/>
        <v>0</v>
      </c>
      <c r="AZ7" s="482">
        <f t="shared" si="40"/>
        <v>0</v>
      </c>
      <c r="BA7" s="124"/>
      <c r="BB7" s="480">
        <f t="shared" si="15"/>
        <v>0</v>
      </c>
      <c r="BC7" s="482">
        <f t="shared" si="16"/>
        <v>0</v>
      </c>
      <c r="BD7" s="482">
        <f t="shared" si="17"/>
        <v>0</v>
      </c>
      <c r="BE7" s="482">
        <f t="shared" si="41"/>
        <v>0</v>
      </c>
      <c r="BF7" s="124"/>
      <c r="BG7" s="480">
        <f t="shared" si="18"/>
        <v>0</v>
      </c>
      <c r="BH7" s="482">
        <f t="shared" si="19"/>
        <v>0</v>
      </c>
      <c r="BI7" s="482">
        <f t="shared" si="20"/>
        <v>0</v>
      </c>
      <c r="BJ7" s="482">
        <f t="shared" si="42"/>
        <v>0</v>
      </c>
      <c r="BK7" s="124"/>
      <c r="BL7" s="480">
        <f t="shared" si="21"/>
        <v>0</v>
      </c>
      <c r="BM7" s="482">
        <f t="shared" si="22"/>
        <v>0</v>
      </c>
      <c r="BN7" s="482">
        <f t="shared" si="23"/>
        <v>0</v>
      </c>
      <c r="BO7" s="482">
        <f t="shared" si="43"/>
        <v>0</v>
      </c>
      <c r="BP7" s="124"/>
      <c r="BQ7" s="123"/>
      <c r="BR7" s="480">
        <f t="shared" si="24"/>
        <v>0</v>
      </c>
      <c r="BS7" s="482">
        <f t="shared" si="25"/>
        <v>0</v>
      </c>
      <c r="BT7" s="482">
        <f t="shared" si="26"/>
        <v>0</v>
      </c>
      <c r="BU7" s="482">
        <f t="shared" si="44"/>
        <v>0</v>
      </c>
      <c r="BV7" s="124"/>
      <c r="BW7" s="480">
        <f t="shared" si="27"/>
        <v>0</v>
      </c>
      <c r="BX7" s="482">
        <f t="shared" si="28"/>
        <v>0</v>
      </c>
      <c r="BY7" s="482">
        <f t="shared" si="29"/>
        <v>0</v>
      </c>
      <c r="BZ7" s="482">
        <f t="shared" si="45"/>
        <v>0</v>
      </c>
      <c r="CA7" s="124"/>
      <c r="CB7" s="480">
        <f t="shared" si="30"/>
        <v>0</v>
      </c>
      <c r="CC7" s="482">
        <f t="shared" si="31"/>
        <v>0</v>
      </c>
      <c r="CD7" s="482">
        <f t="shared" si="32"/>
        <v>0</v>
      </c>
      <c r="CE7" s="482">
        <f t="shared" si="46"/>
        <v>0</v>
      </c>
      <c r="CF7" s="124"/>
      <c r="CG7" s="480">
        <f t="shared" si="33"/>
        <v>0</v>
      </c>
      <c r="CH7" s="482">
        <f t="shared" si="34"/>
        <v>0</v>
      </c>
      <c r="CI7" s="482">
        <f t="shared" si="35"/>
        <v>0</v>
      </c>
      <c r="CJ7" s="482">
        <f t="shared" si="47"/>
        <v>0</v>
      </c>
      <c r="CK7" s="124"/>
    </row>
    <row r="8" spans="1:179" s="57" customFormat="1" ht="9.75" customHeight="1" thickBot="1" x14ac:dyDescent="0.2">
      <c r="A8" s="469" t="s">
        <v>134</v>
      </c>
      <c r="B8" s="130">
        <v>5000000</v>
      </c>
      <c r="C8" s="131">
        <v>300000000</v>
      </c>
      <c r="D8" s="132">
        <f>SUM(E8/10)</f>
        <v>999900000</v>
      </c>
      <c r="E8" s="514">
        <f>SUM('Your Estimation'!B68*1000000)</f>
        <v>9999000000</v>
      </c>
      <c r="F8" s="508">
        <f>SUM(IF(((1-(Z18/(IF(ISBLANK(D8),B8,(IF(D8=0,9.99999999999999E+29,D8))))))*SUM(F4:F7))&lt;0,0,((1-(Z18/(IF(ISBLANK(D8),B8,(IF(D8=0,9.99999999999999E+29,D8))))))*SUM(F4:F7))))</f>
        <v>1699.9974497449746</v>
      </c>
      <c r="G8" s="509">
        <f>SUM(IF(((1-(F18/(IF(ISBLANK(D8),B8,(IF(D8=0,9.99999999999999E+29,D8))))))*SUM(G4:G7))&lt;0,0,((1-(F18/(IF(ISBLANK(D8),B8,(IF(D8=0,9.99999999999999E+29,D8))))))*SUM(G4:G7))))</f>
        <v>2299.9950640323991</v>
      </c>
      <c r="H8" s="509">
        <f>SUM(IF(((1-(G18/(IF(ISBLANK(D8),B8,(IF(D8=0,9.99999999999999E+29,D8))))))*SUM(H4:H7))&lt;0,0,((1-(G18/(IF(ISBLANK(D8),B8,(IF(D8=0,9.99999999999999E+29,D8))))))*SUM(H4:H7))))</f>
        <v>3888.8689698504559</v>
      </c>
      <c r="I8" s="509">
        <f>SUM(IF(((1-(H18/(IF(ISBLANK(D8),B8,(IF(D8=0,9.99999999999999E+29,D8))))))*SUM(I4:I7))&lt;0,0,((1-(H18/(IF(ISBLANK(D8),B8,(IF(D8=0,9.99999999999999E+29,D8))))))*SUM(I4:I7))))</f>
        <v>3333.2773672928633</v>
      </c>
      <c r="J8" s="510">
        <f t="shared" ref="J8" si="48">SUM(F8:I8)*3</f>
        <v>33666.416552762079</v>
      </c>
      <c r="K8" s="509">
        <f>SUM(IF(((1-(I18/(IF(ISBLANK(E8),C8,(IF(E8=0,9.99999999999999E+29,E8))))))*SUM(K4:K7))&lt;0,0,((1-(I18/(IF(ISBLANK(E8),C8,(IF(E8=0,9.99999999999999E+29,E8))))))*SUM(K4:K7))))</f>
        <v>2222.2162687457057</v>
      </c>
      <c r="L8" s="509">
        <f>SUM(IF(((1-(K18/(IF(ISBLANK(E8),C8,(IF(E8=0,9.99999999999999E+29,E8))))))*SUM(L4:L7))&lt;0,0,((1-(K18/(IF(ISBLANK(E8),C8,(IF(E8=0,9.99999999999999E+29,E8))))))*SUM(L4:L7))))</f>
        <v>1666.6610903400228</v>
      </c>
      <c r="M8" s="509">
        <f>SUM(IF(((1-(L18/(IF(ISBLANK(E8),C8,(IF(E8=0,9.99999999999999E+29,E8))))))*SUM(M4:M7))&lt;0,0,((1-(L18/(IF(ISBLANK(E8),C8,(IF(E8=0,9.99999999999999E+29,E8))))))*SUM(M4:M7))))</f>
        <v>0</v>
      </c>
      <c r="N8" s="509">
        <f>SUM(IF(((1-(M18/(IF(ISBLANK(E8),C8,(IF(E8=0,9.99999999999999E+29,E8))))))*SUM(N4:N7))&lt;0,0,((1-(M18/(IF(ISBLANK(E8),C8,(IF(E8=0,9.99999999999999E+29,E8))))))*SUM(N4:N7))))</f>
        <v>0</v>
      </c>
      <c r="O8" s="510">
        <f t="shared" ref="O8" si="49">SUM(K8:N8)*3</f>
        <v>11666.632077257185</v>
      </c>
      <c r="P8" s="509">
        <f>SUM(IF(((1-(N18/(IF(ISBLANK(E8),C8,(IF(E8=0,9.99999999999999E+29,E8))))))*SUM(P4:P7))&lt;0,0,((1-(N18/(IF(ISBLANK(E8),C8,(IF(E8=0,9.99999999999999E+29,E8))))))*SUM(P4:P7))))</f>
        <v>0</v>
      </c>
      <c r="Q8" s="509">
        <f>SUM(IF(((1-(P18/(IF(ISBLANK(E8),C8,(IF(E8=0,9.99999999999999E+29,E8))))))*SUM(Q4:Q7))&lt;0,0,((1-(P18/(IF(ISBLANK(E8),C8,(IF(E8=0,9.99999999999999E+29,E8))))))*SUM(Q4:Q7))))</f>
        <v>0</v>
      </c>
      <c r="R8" s="509">
        <f>SUM(IF(((1-(Q18/(IF(ISBLANK(E8),C8,(IF(E8=0,9.99999999999999E+29,E8))))))*SUM(R4:R7))&lt;0,0,((1-(Q18/(IF(ISBLANK(E8),C8,(IF(E8=0,9.99999999999999E+29,E8))))))*SUM(R4:R7))))</f>
        <v>0</v>
      </c>
      <c r="S8" s="509">
        <f>SUM(IF(((1-(R18/(IF(ISBLANK(E8),C8,(IF(E8=0,9.99999999999999E+29,E8))))))*SUM(S4:S7))&lt;0,0,((1-(R18/(IF(ISBLANK(E8),C8,(IF(E8=0,9.99999999999999E+29,E8))))))*SUM(S4:S7))))</f>
        <v>0</v>
      </c>
      <c r="T8" s="511">
        <f t="shared" ref="T8" si="50">SUM(P8:S8)*3</f>
        <v>0</v>
      </c>
      <c r="U8" s="562"/>
      <c r="V8" s="559">
        <f>SUM(IF(((1-(T18/(IF(ISBLANK(E8),C8,(IF(E8=0,9.99999999999999E+29,E8))))))*SUM(V4:V7))&lt;0,0,((1-(T18/(IF(ISBLANK(E8),C8,(IF(E8=0,9.99999999999999E+29,E8))))))*SUM(V4:V7))))</f>
        <v>0</v>
      </c>
      <c r="W8" s="560">
        <f>SUM(IF(((1-(V18/(IF(ISBLANK(E8),C8,(IF(E8=0,9.99999999999999E+29,E8))))))*SUM(W4:W7))&lt;0,0,((1-(V18/(IF(ISBLANK(E8),C8,(IF(E8=0,9.99999999999999E+29,E8))))))*SUM(W4:W7))))</f>
        <v>0</v>
      </c>
      <c r="X8" s="561">
        <f>SUM(IF(((1-(W18/(IF(ISBLANK(E8),C8,(IF(E8=0,9.99999999999999E+29,E8))))))*SUM(X4:X7))&lt;0,0,((1-(W18/(IF(ISBLANK(E8),C8,(IF(E8=0,9.99999999999999E+29,E8))))))*SUM(X4:X7))))</f>
        <v>0</v>
      </c>
      <c r="Y8" s="562"/>
      <c r="Z8" s="569">
        <f>SUM(Z4:Z7)</f>
        <v>2300</v>
      </c>
      <c r="AA8" s="607"/>
      <c r="AB8" s="508">
        <f t="shared" si="0"/>
        <v>1699.9974497449746</v>
      </c>
      <c r="AC8" s="509">
        <f t="shared" si="1"/>
        <v>1699.9974497449746</v>
      </c>
      <c r="AD8" s="509">
        <f t="shared" si="2"/>
        <v>1699.9974497449746</v>
      </c>
      <c r="AE8" s="509">
        <f t="shared" si="36"/>
        <v>5099.9923492349235</v>
      </c>
      <c r="AF8" s="133"/>
      <c r="AG8" s="508">
        <f t="shared" si="3"/>
        <v>2299.9950640323991</v>
      </c>
      <c r="AH8" s="509">
        <f t="shared" si="4"/>
        <v>2299.9950640323991</v>
      </c>
      <c r="AI8" s="509">
        <f t="shared" si="5"/>
        <v>2299.9950640323991</v>
      </c>
      <c r="AJ8" s="509">
        <f t="shared" si="37"/>
        <v>6899.9851920971978</v>
      </c>
      <c r="AK8" s="133"/>
      <c r="AL8" s="508">
        <f t="shared" si="6"/>
        <v>3888.8689698504559</v>
      </c>
      <c r="AM8" s="509">
        <f t="shared" si="7"/>
        <v>3888.8689698504559</v>
      </c>
      <c r="AN8" s="509">
        <f t="shared" si="8"/>
        <v>3888.8689698504559</v>
      </c>
      <c r="AO8" s="509">
        <f t="shared" si="38"/>
        <v>11666.606909551367</v>
      </c>
      <c r="AP8" s="133"/>
      <c r="AQ8" s="508">
        <f t="shared" si="9"/>
        <v>3333.2773672928633</v>
      </c>
      <c r="AR8" s="509">
        <f t="shared" si="10"/>
        <v>3333.2773672928633</v>
      </c>
      <c r="AS8" s="509">
        <f t="shared" si="11"/>
        <v>3333.2773672928633</v>
      </c>
      <c r="AT8" s="509">
        <f t="shared" si="39"/>
        <v>9999.83210187859</v>
      </c>
      <c r="AU8" s="133"/>
      <c r="AV8" s="607"/>
      <c r="AW8" s="508">
        <f t="shared" si="12"/>
        <v>2222.2162687457057</v>
      </c>
      <c r="AX8" s="509">
        <f t="shared" si="13"/>
        <v>2222.2162687457057</v>
      </c>
      <c r="AY8" s="509">
        <f t="shared" si="14"/>
        <v>2222.2162687457057</v>
      </c>
      <c r="AZ8" s="509">
        <f t="shared" si="40"/>
        <v>6666.6488062371172</v>
      </c>
      <c r="BA8" s="133"/>
      <c r="BB8" s="508">
        <f t="shared" si="15"/>
        <v>1666.6610903400228</v>
      </c>
      <c r="BC8" s="509">
        <f t="shared" si="16"/>
        <v>1666.6610903400228</v>
      </c>
      <c r="BD8" s="509">
        <f t="shared" si="17"/>
        <v>1666.6610903400228</v>
      </c>
      <c r="BE8" s="509">
        <f t="shared" si="41"/>
        <v>4999.9832710200681</v>
      </c>
      <c r="BF8" s="133"/>
      <c r="BG8" s="508">
        <f t="shared" si="18"/>
        <v>0</v>
      </c>
      <c r="BH8" s="509">
        <f t="shared" si="19"/>
        <v>0</v>
      </c>
      <c r="BI8" s="509">
        <f t="shared" si="20"/>
        <v>0</v>
      </c>
      <c r="BJ8" s="509">
        <f t="shared" si="42"/>
        <v>0</v>
      </c>
      <c r="BK8" s="133"/>
      <c r="BL8" s="508">
        <f t="shared" si="21"/>
        <v>0</v>
      </c>
      <c r="BM8" s="509">
        <f t="shared" si="22"/>
        <v>0</v>
      </c>
      <c r="BN8" s="509">
        <f t="shared" si="23"/>
        <v>0</v>
      </c>
      <c r="BO8" s="509">
        <f t="shared" si="43"/>
        <v>0</v>
      </c>
      <c r="BP8" s="133"/>
      <c r="BQ8" s="562"/>
      <c r="BR8" s="508">
        <f t="shared" si="24"/>
        <v>0</v>
      </c>
      <c r="BS8" s="509">
        <f t="shared" si="25"/>
        <v>0</v>
      </c>
      <c r="BT8" s="509">
        <f t="shared" si="26"/>
        <v>0</v>
      </c>
      <c r="BU8" s="509">
        <f t="shared" si="44"/>
        <v>0</v>
      </c>
      <c r="BV8" s="133"/>
      <c r="BW8" s="508">
        <f t="shared" si="27"/>
        <v>0</v>
      </c>
      <c r="BX8" s="509">
        <f t="shared" si="28"/>
        <v>0</v>
      </c>
      <c r="BY8" s="509">
        <f t="shared" si="29"/>
        <v>0</v>
      </c>
      <c r="BZ8" s="509">
        <f t="shared" si="45"/>
        <v>0</v>
      </c>
      <c r="CA8" s="133"/>
      <c r="CB8" s="508">
        <f t="shared" si="30"/>
        <v>0</v>
      </c>
      <c r="CC8" s="509">
        <f t="shared" si="31"/>
        <v>0</v>
      </c>
      <c r="CD8" s="509">
        <f t="shared" si="32"/>
        <v>0</v>
      </c>
      <c r="CE8" s="509">
        <f>SUM(CB8:CD8)</f>
        <v>0</v>
      </c>
      <c r="CF8" s="133"/>
      <c r="CG8" s="508">
        <f t="shared" si="33"/>
        <v>0</v>
      </c>
      <c r="CH8" s="509">
        <f t="shared" si="34"/>
        <v>0</v>
      </c>
      <c r="CI8" s="509">
        <f t="shared" si="35"/>
        <v>0</v>
      </c>
      <c r="CJ8" s="509">
        <f t="shared" si="47"/>
        <v>0</v>
      </c>
      <c r="CK8" s="133"/>
      <c r="CL8" s="134"/>
    </row>
    <row r="9" spans="1:179" s="144" customFormat="1" ht="9.75" customHeight="1" x14ac:dyDescent="0.15">
      <c r="A9" s="470" t="s">
        <v>135</v>
      </c>
      <c r="B9" s="135">
        <v>0.05</v>
      </c>
      <c r="C9" s="136">
        <v>-2E-3</v>
      </c>
      <c r="D9" s="475">
        <f>SUM(('Your Estimation'!B13+1)^(1/12)-1)</f>
        <v>0</v>
      </c>
      <c r="E9" s="426">
        <v>0</v>
      </c>
      <c r="F9" s="137">
        <v>0.01</v>
      </c>
      <c r="G9" s="138">
        <v>0.03</v>
      </c>
      <c r="H9" s="483">
        <f>SUM(IF((0*(IF(ISBLANK(E9),C9,E9)))+(IF(ISBLANK(D9),B9,D9)) &lt; 0, 0, (0*(IF(ISBLANK(E9),C9,E9)))+(IF(ISBLANK(D9),B9,D9))))</f>
        <v>0</v>
      </c>
      <c r="I9" s="483">
        <f>SUM(IF((1*(IF(ISBLANK(E9),C9,E9)))+(IF(ISBLANK(D9),B9,D9)) &lt; 0, 0, (1*(IF(ISBLANK(E9),C9,E9)))+(IF(ISBLANK(D9),B9,D9))))</f>
        <v>0</v>
      </c>
      <c r="J9" s="139">
        <f>SUM(((1+F9)*(1+F9)*(1+F9)*(1+G9)*(1+G9)*(1+G9)*(1+H9)*(1+H9)*(1+H9)*(1+I9)*(1+I9)*(1+I9))-1)</f>
        <v>0.12583772082700007</v>
      </c>
      <c r="K9" s="483">
        <f>SUM(IF((2*(IF(ISBLANK(E9),C9,E9)))+(IF(ISBLANK(D9),B9,D9)) &lt; 0, 0, (2*(IF(ISBLANK(E9),C9,E9)))+(IF(ISBLANK(D9),B9,D9))))</f>
        <v>0</v>
      </c>
      <c r="L9" s="483">
        <f>SUM(IF((3*(IF(ISBLANK(E9),C9,E9)))+(IF(ISBLANK(D9),B9,D9)) &lt; 0, 0, (3*(IF(ISBLANK(E9),C9,E9)))+(IF(ISBLANK(D9),B9,D9))))</f>
        <v>0</v>
      </c>
      <c r="M9" s="483">
        <f>SUM(IF((4*(IF(ISBLANK(E9),C9,E9)))+(IF(ISBLANK(D9),B9,D9)) &lt; 0, 0, (4*(IF(ISBLANK(E9),C9,E9)))+(IF(ISBLANK(D9),B9,D9))))</f>
        <v>0</v>
      </c>
      <c r="N9" s="483">
        <f>SUM(IF((5*(IF(ISBLANK(E9),C9,E9)))+(IF(ISBLANK(D9),B9,D9)) &lt; 0, 0, (5*(IF(ISBLANK(E9),C9,E9)))+(IF(ISBLANK(D9),B9,D9))))</f>
        <v>0</v>
      </c>
      <c r="O9" s="139">
        <f>SUM(((1+K9)*(1+K9)*(1+K9)*(1+L9)*(1+L9)*(1+L9)*(1+M9)*(1+M9)*(1+M9)*(1+N9)*(1+N9)*(1+N9))-1)</f>
        <v>0</v>
      </c>
      <c r="P9" s="483">
        <f>SUM(IF((6*(IF(ISBLANK(E9),C9,E9)))+(IF(ISBLANK(D9),B9,D9)) &lt; 0, 0, (6*(IF(ISBLANK(E9),C9,E9)))+(IF(ISBLANK(D9),B9,D9))))</f>
        <v>0</v>
      </c>
      <c r="Q9" s="483">
        <f>SUM(IF((7*(IF(ISBLANK(E9),C9,E9)))+(IF(ISBLANK(D9),B9,D9)) &lt; 0, 0, (7*(IF(ISBLANK(E9),C9,E9)))+(IF(ISBLANK(D9),B9,D9))))</f>
        <v>0</v>
      </c>
      <c r="R9" s="483">
        <f>SUM(IF((8*(IF(ISBLANK(E9),C9,E9)))+(IF(ISBLANK(D9),B9,D9)) &lt; 0, 0, (8*(IF(ISBLANK(E9),C9,E9)))+(IF(ISBLANK(D9),B9,D9))))</f>
        <v>0</v>
      </c>
      <c r="S9" s="483">
        <f>SUM(IF((9*(IF(ISBLANK(E9),C9,E9)))+(IF(ISBLANK(D9),B9,D9)) &lt; 0, 0, (9*(IF(ISBLANK(E9),C9,E9)))+(IF(ISBLANK(D9),B9,D9))))</f>
        <v>0</v>
      </c>
      <c r="T9" s="136">
        <f>SUM(((1+P9)*(1+P9)*(1+P9)*(1+Q9)*(1+Q9)*(1+Q9)*(1+R9)*(1+R9)*(1+R9)*(1+S9)*(1+S9)*(1+S9))-1)</f>
        <v>0</v>
      </c>
      <c r="U9" s="290"/>
      <c r="V9" s="541">
        <f>SUM(('Your Estimation'!B13))</f>
        <v>0</v>
      </c>
      <c r="W9" s="412">
        <f>SUM(('Your Estimation'!B13))</f>
        <v>0</v>
      </c>
      <c r="X9" s="542">
        <f>SUM(('Your Estimation'!B13))</f>
        <v>0</v>
      </c>
      <c r="Y9" s="142"/>
      <c r="Z9" s="570">
        <v>0</v>
      </c>
      <c r="AA9" s="608"/>
      <c r="AB9" s="588">
        <f t="shared" si="0"/>
        <v>0.01</v>
      </c>
      <c r="AC9" s="483">
        <f t="shared" si="1"/>
        <v>0.01</v>
      </c>
      <c r="AD9" s="483">
        <f t="shared" si="2"/>
        <v>0.01</v>
      </c>
      <c r="AE9" s="483">
        <f t="shared" si="36"/>
        <v>0.03</v>
      </c>
      <c r="AF9" s="143"/>
      <c r="AG9" s="588">
        <f t="shared" si="3"/>
        <v>0.03</v>
      </c>
      <c r="AH9" s="483">
        <f t="shared" si="4"/>
        <v>0.03</v>
      </c>
      <c r="AI9" s="483">
        <f t="shared" si="5"/>
        <v>0.03</v>
      </c>
      <c r="AJ9" s="483">
        <f t="shared" si="37"/>
        <v>0.09</v>
      </c>
      <c r="AK9" s="143"/>
      <c r="AL9" s="588">
        <f t="shared" si="6"/>
        <v>0</v>
      </c>
      <c r="AM9" s="483">
        <f t="shared" si="7"/>
        <v>0</v>
      </c>
      <c r="AN9" s="483">
        <f t="shared" si="8"/>
        <v>0</v>
      </c>
      <c r="AO9" s="483">
        <f t="shared" si="38"/>
        <v>0</v>
      </c>
      <c r="AP9" s="143"/>
      <c r="AQ9" s="588">
        <f t="shared" si="9"/>
        <v>0</v>
      </c>
      <c r="AR9" s="483">
        <f t="shared" si="10"/>
        <v>0</v>
      </c>
      <c r="AS9" s="483">
        <f t="shared" si="11"/>
        <v>0</v>
      </c>
      <c r="AT9" s="483">
        <f t="shared" si="39"/>
        <v>0</v>
      </c>
      <c r="AU9" s="143"/>
      <c r="AV9" s="608"/>
      <c r="AW9" s="588">
        <f t="shared" si="12"/>
        <v>0</v>
      </c>
      <c r="AX9" s="483">
        <f t="shared" si="13"/>
        <v>0</v>
      </c>
      <c r="AY9" s="483">
        <f t="shared" si="14"/>
        <v>0</v>
      </c>
      <c r="AZ9" s="483">
        <f t="shared" si="40"/>
        <v>0</v>
      </c>
      <c r="BA9" s="143"/>
      <c r="BB9" s="588">
        <f t="shared" si="15"/>
        <v>0</v>
      </c>
      <c r="BC9" s="483">
        <f t="shared" si="16"/>
        <v>0</v>
      </c>
      <c r="BD9" s="483">
        <f t="shared" si="17"/>
        <v>0</v>
      </c>
      <c r="BE9" s="483">
        <f t="shared" si="41"/>
        <v>0</v>
      </c>
      <c r="BF9" s="143"/>
      <c r="BG9" s="588">
        <f t="shared" si="18"/>
        <v>0</v>
      </c>
      <c r="BH9" s="483">
        <f t="shared" si="19"/>
        <v>0</v>
      </c>
      <c r="BI9" s="483">
        <f t="shared" si="20"/>
        <v>0</v>
      </c>
      <c r="BJ9" s="483">
        <f t="shared" si="42"/>
        <v>0</v>
      </c>
      <c r="BK9" s="143"/>
      <c r="BL9" s="588">
        <f t="shared" si="21"/>
        <v>0</v>
      </c>
      <c r="BM9" s="483">
        <f t="shared" si="22"/>
        <v>0</v>
      </c>
      <c r="BN9" s="483">
        <f t="shared" si="23"/>
        <v>0</v>
      </c>
      <c r="BO9" s="483">
        <f t="shared" ref="BO9:BO15" si="51">SUM((BL9+BM9+BN9))</f>
        <v>0</v>
      </c>
      <c r="BP9" s="143"/>
      <c r="BQ9" s="290"/>
      <c r="BR9" s="588">
        <f t="shared" si="24"/>
        <v>0</v>
      </c>
      <c r="BS9" s="483">
        <f t="shared" si="25"/>
        <v>0</v>
      </c>
      <c r="BT9" s="483">
        <f t="shared" si="26"/>
        <v>0</v>
      </c>
      <c r="BU9" s="483">
        <f t="shared" ref="BU9:BU15" si="52">SUM((BR9+BS9+BT9))</f>
        <v>0</v>
      </c>
      <c r="BV9" s="143"/>
      <c r="BW9" s="588">
        <f t="shared" si="27"/>
        <v>0</v>
      </c>
      <c r="BX9" s="483">
        <f t="shared" si="28"/>
        <v>0</v>
      </c>
      <c r="BY9" s="483">
        <f t="shared" si="29"/>
        <v>0</v>
      </c>
      <c r="BZ9" s="483">
        <f t="shared" ref="BZ9:BZ15" si="53">SUM((BW9+BX9+BY9))</f>
        <v>0</v>
      </c>
      <c r="CA9" s="143"/>
      <c r="CB9" s="588">
        <f t="shared" si="30"/>
        <v>0</v>
      </c>
      <c r="CC9" s="483">
        <f t="shared" si="31"/>
        <v>0</v>
      </c>
      <c r="CD9" s="483">
        <f t="shared" si="32"/>
        <v>0</v>
      </c>
      <c r="CE9" s="483">
        <f t="shared" ref="CE9:CE16" si="54">SUM((CB9+CC9+CD9))</f>
        <v>0</v>
      </c>
      <c r="CF9" s="143"/>
      <c r="CG9" s="588">
        <f t="shared" si="33"/>
        <v>0</v>
      </c>
      <c r="CH9" s="483">
        <f t="shared" si="34"/>
        <v>0</v>
      </c>
      <c r="CI9" s="483">
        <f t="shared" si="35"/>
        <v>0</v>
      </c>
      <c r="CJ9" s="483">
        <f t="shared" ref="CJ9:CJ16" si="55">SUM((CG9+CH9+CI9))</f>
        <v>0</v>
      </c>
      <c r="CK9" s="143"/>
    </row>
    <row r="10" spans="1:179" s="144" customFormat="1" ht="9.75" customHeight="1" x14ac:dyDescent="0.15">
      <c r="A10" s="472" t="s">
        <v>136</v>
      </c>
      <c r="B10" s="145">
        <v>0.06</v>
      </c>
      <c r="C10" s="126">
        <v>-5.0000000000000001E-3</v>
      </c>
      <c r="D10" s="476">
        <f>SUM(('Your Estimation'!B48+1)^(1/12)-1)</f>
        <v>0</v>
      </c>
      <c r="E10" s="427">
        <v>0</v>
      </c>
      <c r="F10" s="146">
        <v>0</v>
      </c>
      <c r="G10" s="147">
        <v>0.02</v>
      </c>
      <c r="H10" s="484">
        <f t="shared" ref="H10:H13" si="56">SUM(IF((0*(IF(ISBLANK(E10),C10,E10)))+(IF(ISBLANK(D10),B10,D10)) &lt; 0, 0, (0*(IF(ISBLANK(E10),C10,E10)))+(IF(ISBLANK(D10),B10,D10))))</f>
        <v>0</v>
      </c>
      <c r="I10" s="484">
        <f t="shared" ref="I10:I13" si="57">SUM(IF((1*(IF(ISBLANK(E10),C10,E10)))+(IF(ISBLANK(D10),B10,D10)) &lt; 0, 0, (1*(IF(ISBLANK(E10),C10,E10)))+(IF(ISBLANK(D10),B10,D10))))</f>
        <v>0</v>
      </c>
      <c r="J10" s="148">
        <f t="shared" ref="J10:J13" si="58">SUM(((1+F10)*(1+F10)*(1+F10)*(1+G10)*(1+G10)*(1+G10)*(1+H10)*(1+H10)*(1+H10)*(1+I10)*(1+I10)*(1+I10))-1)</f>
        <v>6.1207999999999929E-2</v>
      </c>
      <c r="K10" s="484">
        <f t="shared" ref="K10:K13" si="59">SUM(IF((2*(IF(ISBLANK(E10),C10,E10)))+(IF(ISBLANK(D10),B10,D10)) &lt; 0, 0, (2*(IF(ISBLANK(E10),C10,E10)))+(IF(ISBLANK(D10),B10,D10))))</f>
        <v>0</v>
      </c>
      <c r="L10" s="484">
        <f t="shared" ref="L10:L13" si="60">SUM(IF((3*(IF(ISBLANK(E10),C10,E10)))+(IF(ISBLANK(D10),B10,D10)) &lt; 0, 0, (3*(IF(ISBLANK(E10),C10,E10)))+(IF(ISBLANK(D10),B10,D10))))</f>
        <v>0</v>
      </c>
      <c r="M10" s="484">
        <f t="shared" ref="M10:M13" si="61">SUM(IF((4*(IF(ISBLANK(E10),C10,E10)))+(IF(ISBLANK(D10),B10,D10)) &lt; 0, 0, (4*(IF(ISBLANK(E10),C10,E10)))+(IF(ISBLANK(D10),B10,D10))))</f>
        <v>0</v>
      </c>
      <c r="N10" s="484">
        <f t="shared" ref="N10:N13" si="62">SUM(IF((5*(IF(ISBLANK(E10),C10,E10)))+(IF(ISBLANK(D10),B10,D10)) &lt; 0, 0, (5*(IF(ISBLANK(E10),C10,E10)))+(IF(ISBLANK(D10),B10,D10))))</f>
        <v>0</v>
      </c>
      <c r="O10" s="148">
        <f t="shared" ref="O10:O15" si="63">SUM(((1+K10)*(1+K10)*(1+K10)*(1+L10)*(1+L10)*(1+L10)*(1+M10)*(1+M10)*(1+M10)*(1+N10)*(1+N10)*(1+N10))-1)</f>
        <v>0</v>
      </c>
      <c r="P10" s="484">
        <f t="shared" ref="P10:P13" si="64">SUM(IF((6*(IF(ISBLANK(E10),C10,E10)))+(IF(ISBLANK(D10),B10,D10)) &lt; 0, 0, (6*(IF(ISBLANK(E10),C10,E10)))+(IF(ISBLANK(D10),B10,D10))))</f>
        <v>0</v>
      </c>
      <c r="Q10" s="484">
        <f t="shared" ref="Q10:Q13" si="65">SUM(IF((7*(IF(ISBLANK(E10),C10,E10)))+(IF(ISBLANK(D10),B10,D10)) &lt; 0, 0, (7*(IF(ISBLANK(E10),C10,E10)))+(IF(ISBLANK(D10),B10,D10))))</f>
        <v>0</v>
      </c>
      <c r="R10" s="484">
        <f t="shared" ref="R10:R13" si="66">SUM(IF((8*(IF(ISBLANK(E10),C10,E10)))+(IF(ISBLANK(D10),B10,D10)) &lt; 0, 0, (8*(IF(ISBLANK(E10),C10,E10)))+(IF(ISBLANK(D10),B10,D10))))</f>
        <v>0</v>
      </c>
      <c r="S10" s="484">
        <f t="shared" ref="S10:S13" si="67">SUM(IF((9*(IF(ISBLANK(E10),C10,E10)))+(IF(ISBLANK(D10),B10,D10)) &lt; 0, 0, (9*(IF(ISBLANK(E10),C10,E10)))+(IF(ISBLANK(D10),B10,D10))))</f>
        <v>0</v>
      </c>
      <c r="T10" s="126">
        <f t="shared" ref="T10:T15" si="68">SUM(((1+P10)*(1+P10)*(1+P10)*(1+Q10)*(1+Q10)*(1+Q10)*(1+R10)*(1+R10)*(1+R10)*(1+S10)*(1+S10)*(1+S10))-1)</f>
        <v>0</v>
      </c>
      <c r="U10" s="293"/>
      <c r="V10" s="543">
        <f>SUM(('Your Estimation'!B48))</f>
        <v>0</v>
      </c>
      <c r="W10" s="413">
        <f>SUM(('Your Estimation'!B48))</f>
        <v>0</v>
      </c>
      <c r="X10" s="418">
        <f>SUM(('Your Estimation'!B48))</f>
        <v>0</v>
      </c>
      <c r="Y10" s="151"/>
      <c r="Z10" s="571">
        <v>0</v>
      </c>
      <c r="AA10" s="609"/>
      <c r="AB10" s="589">
        <f t="shared" si="0"/>
        <v>0</v>
      </c>
      <c r="AC10" s="484">
        <f t="shared" si="1"/>
        <v>0</v>
      </c>
      <c r="AD10" s="484">
        <f t="shared" si="2"/>
        <v>0</v>
      </c>
      <c r="AE10" s="484">
        <f t="shared" si="36"/>
        <v>0</v>
      </c>
      <c r="AF10" s="152"/>
      <c r="AG10" s="589">
        <f t="shared" si="3"/>
        <v>0.02</v>
      </c>
      <c r="AH10" s="484">
        <f t="shared" si="4"/>
        <v>0.02</v>
      </c>
      <c r="AI10" s="484">
        <f t="shared" si="5"/>
        <v>0.02</v>
      </c>
      <c r="AJ10" s="484">
        <f t="shared" si="37"/>
        <v>0.06</v>
      </c>
      <c r="AK10" s="152"/>
      <c r="AL10" s="589">
        <f t="shared" si="6"/>
        <v>0</v>
      </c>
      <c r="AM10" s="484">
        <f t="shared" si="7"/>
        <v>0</v>
      </c>
      <c r="AN10" s="484">
        <f t="shared" si="8"/>
        <v>0</v>
      </c>
      <c r="AO10" s="484">
        <f t="shared" si="38"/>
        <v>0</v>
      </c>
      <c r="AP10" s="152"/>
      <c r="AQ10" s="589">
        <f t="shared" si="9"/>
        <v>0</v>
      </c>
      <c r="AR10" s="484">
        <f t="shared" si="10"/>
        <v>0</v>
      </c>
      <c r="AS10" s="484">
        <f t="shared" si="11"/>
        <v>0</v>
      </c>
      <c r="AT10" s="484">
        <f t="shared" si="39"/>
        <v>0</v>
      </c>
      <c r="AU10" s="152"/>
      <c r="AV10" s="609"/>
      <c r="AW10" s="589">
        <f t="shared" si="12"/>
        <v>0</v>
      </c>
      <c r="AX10" s="484">
        <f t="shared" si="13"/>
        <v>0</v>
      </c>
      <c r="AY10" s="484">
        <f t="shared" si="14"/>
        <v>0</v>
      </c>
      <c r="AZ10" s="484">
        <f t="shared" si="40"/>
        <v>0</v>
      </c>
      <c r="BA10" s="152"/>
      <c r="BB10" s="589">
        <f t="shared" si="15"/>
        <v>0</v>
      </c>
      <c r="BC10" s="484">
        <f t="shared" si="16"/>
        <v>0</v>
      </c>
      <c r="BD10" s="484">
        <f t="shared" si="17"/>
        <v>0</v>
      </c>
      <c r="BE10" s="484">
        <f t="shared" si="41"/>
        <v>0</v>
      </c>
      <c r="BF10" s="152"/>
      <c r="BG10" s="589">
        <f t="shared" si="18"/>
        <v>0</v>
      </c>
      <c r="BH10" s="484">
        <f t="shared" si="19"/>
        <v>0</v>
      </c>
      <c r="BI10" s="484">
        <f t="shared" si="20"/>
        <v>0</v>
      </c>
      <c r="BJ10" s="484">
        <f t="shared" si="42"/>
        <v>0</v>
      </c>
      <c r="BK10" s="152"/>
      <c r="BL10" s="589">
        <f t="shared" si="21"/>
        <v>0</v>
      </c>
      <c r="BM10" s="484">
        <f t="shared" si="22"/>
        <v>0</v>
      </c>
      <c r="BN10" s="484">
        <f t="shared" si="23"/>
        <v>0</v>
      </c>
      <c r="BO10" s="484">
        <f t="shared" si="51"/>
        <v>0</v>
      </c>
      <c r="BP10" s="152"/>
      <c r="BQ10" s="293"/>
      <c r="BR10" s="589">
        <f t="shared" si="24"/>
        <v>0</v>
      </c>
      <c r="BS10" s="484">
        <f t="shared" si="25"/>
        <v>0</v>
      </c>
      <c r="BT10" s="484">
        <f t="shared" si="26"/>
        <v>0</v>
      </c>
      <c r="BU10" s="484">
        <f t="shared" si="52"/>
        <v>0</v>
      </c>
      <c r="BV10" s="152"/>
      <c r="BW10" s="589">
        <f t="shared" si="27"/>
        <v>0</v>
      </c>
      <c r="BX10" s="484">
        <f t="shared" si="28"/>
        <v>0</v>
      </c>
      <c r="BY10" s="484">
        <f t="shared" si="29"/>
        <v>0</v>
      </c>
      <c r="BZ10" s="484">
        <f t="shared" si="53"/>
        <v>0</v>
      </c>
      <c r="CA10" s="152"/>
      <c r="CB10" s="589">
        <f t="shared" si="30"/>
        <v>0</v>
      </c>
      <c r="CC10" s="484">
        <f t="shared" si="31"/>
        <v>0</v>
      </c>
      <c r="CD10" s="484">
        <f t="shared" si="32"/>
        <v>0</v>
      </c>
      <c r="CE10" s="484">
        <f t="shared" si="54"/>
        <v>0</v>
      </c>
      <c r="CF10" s="152"/>
      <c r="CG10" s="589">
        <f t="shared" si="33"/>
        <v>0</v>
      </c>
      <c r="CH10" s="484">
        <f t="shared" si="34"/>
        <v>0</v>
      </c>
      <c r="CI10" s="484">
        <f t="shared" si="35"/>
        <v>0</v>
      </c>
      <c r="CJ10" s="484">
        <f t="shared" si="55"/>
        <v>0</v>
      </c>
      <c r="CK10" s="152"/>
    </row>
    <row r="11" spans="1:179" s="144" customFormat="1" ht="9.75" customHeight="1" x14ac:dyDescent="0.15">
      <c r="A11" s="472" t="s">
        <v>138</v>
      </c>
      <c r="B11" s="145">
        <v>0.06</v>
      </c>
      <c r="C11" s="126">
        <v>-2E-3</v>
      </c>
      <c r="D11" s="476">
        <f>SUM(('Your Estimation'!B53+1)^(1/12)-1)</f>
        <v>0</v>
      </c>
      <c r="E11" s="427">
        <v>0</v>
      </c>
      <c r="F11" s="146">
        <v>0</v>
      </c>
      <c r="G11" s="147">
        <v>0.02</v>
      </c>
      <c r="H11" s="484">
        <f t="shared" si="56"/>
        <v>0</v>
      </c>
      <c r="I11" s="484">
        <f t="shared" si="57"/>
        <v>0</v>
      </c>
      <c r="J11" s="148">
        <f t="shared" si="58"/>
        <v>6.1207999999999929E-2</v>
      </c>
      <c r="K11" s="484">
        <f t="shared" si="59"/>
        <v>0</v>
      </c>
      <c r="L11" s="484">
        <f t="shared" si="60"/>
        <v>0</v>
      </c>
      <c r="M11" s="484">
        <f t="shared" si="61"/>
        <v>0</v>
      </c>
      <c r="N11" s="484">
        <f t="shared" si="62"/>
        <v>0</v>
      </c>
      <c r="O11" s="148">
        <f t="shared" si="63"/>
        <v>0</v>
      </c>
      <c r="P11" s="484">
        <f t="shared" si="64"/>
        <v>0</v>
      </c>
      <c r="Q11" s="484">
        <f t="shared" si="65"/>
        <v>0</v>
      </c>
      <c r="R11" s="484">
        <f t="shared" si="66"/>
        <v>0</v>
      </c>
      <c r="S11" s="484">
        <f t="shared" si="67"/>
        <v>0</v>
      </c>
      <c r="T11" s="126">
        <f t="shared" si="68"/>
        <v>0</v>
      </c>
      <c r="U11" s="293"/>
      <c r="V11" s="543">
        <f>SUM(('Your Estimation'!B53))</f>
        <v>0</v>
      </c>
      <c r="W11" s="413">
        <f>SUM(('Your Estimation'!B53))</f>
        <v>0</v>
      </c>
      <c r="X11" s="418">
        <f>SUM(('Your Estimation'!B53))</f>
        <v>0</v>
      </c>
      <c r="Y11" s="151"/>
      <c r="Z11" s="571">
        <v>0</v>
      </c>
      <c r="AA11" s="609"/>
      <c r="AB11" s="589">
        <f t="shared" si="0"/>
        <v>0</v>
      </c>
      <c r="AC11" s="484">
        <f t="shared" si="1"/>
        <v>0</v>
      </c>
      <c r="AD11" s="484">
        <f t="shared" si="2"/>
        <v>0</v>
      </c>
      <c r="AE11" s="484">
        <f t="shared" si="36"/>
        <v>0</v>
      </c>
      <c r="AF11" s="152"/>
      <c r="AG11" s="589">
        <f t="shared" si="3"/>
        <v>0.02</v>
      </c>
      <c r="AH11" s="484">
        <f t="shared" si="4"/>
        <v>0.02</v>
      </c>
      <c r="AI11" s="484">
        <f t="shared" si="5"/>
        <v>0.02</v>
      </c>
      <c r="AJ11" s="484">
        <f t="shared" si="37"/>
        <v>0.06</v>
      </c>
      <c r="AK11" s="152"/>
      <c r="AL11" s="589">
        <f t="shared" si="6"/>
        <v>0</v>
      </c>
      <c r="AM11" s="484">
        <f t="shared" si="7"/>
        <v>0</v>
      </c>
      <c r="AN11" s="484">
        <f t="shared" si="8"/>
        <v>0</v>
      </c>
      <c r="AO11" s="484">
        <f t="shared" si="38"/>
        <v>0</v>
      </c>
      <c r="AP11" s="152"/>
      <c r="AQ11" s="589">
        <f t="shared" si="9"/>
        <v>0</v>
      </c>
      <c r="AR11" s="484">
        <f t="shared" si="10"/>
        <v>0</v>
      </c>
      <c r="AS11" s="484">
        <f t="shared" si="11"/>
        <v>0</v>
      </c>
      <c r="AT11" s="484">
        <f t="shared" si="39"/>
        <v>0</v>
      </c>
      <c r="AU11" s="152"/>
      <c r="AV11" s="609"/>
      <c r="AW11" s="589">
        <f t="shared" si="12"/>
        <v>0</v>
      </c>
      <c r="AX11" s="484">
        <f t="shared" si="13"/>
        <v>0</v>
      </c>
      <c r="AY11" s="484">
        <f t="shared" si="14"/>
        <v>0</v>
      </c>
      <c r="AZ11" s="484">
        <f t="shared" si="40"/>
        <v>0</v>
      </c>
      <c r="BA11" s="152"/>
      <c r="BB11" s="589">
        <f t="shared" si="15"/>
        <v>0</v>
      </c>
      <c r="BC11" s="484">
        <f t="shared" si="16"/>
        <v>0</v>
      </c>
      <c r="BD11" s="484">
        <f t="shared" si="17"/>
        <v>0</v>
      </c>
      <c r="BE11" s="484">
        <f t="shared" si="41"/>
        <v>0</v>
      </c>
      <c r="BF11" s="152"/>
      <c r="BG11" s="589">
        <f t="shared" si="18"/>
        <v>0</v>
      </c>
      <c r="BH11" s="484">
        <f t="shared" si="19"/>
        <v>0</v>
      </c>
      <c r="BI11" s="484">
        <f t="shared" si="20"/>
        <v>0</v>
      </c>
      <c r="BJ11" s="484">
        <f t="shared" si="42"/>
        <v>0</v>
      </c>
      <c r="BK11" s="152"/>
      <c r="BL11" s="589">
        <f t="shared" si="21"/>
        <v>0</v>
      </c>
      <c r="BM11" s="484">
        <f t="shared" si="22"/>
        <v>0</v>
      </c>
      <c r="BN11" s="484">
        <f t="shared" si="23"/>
        <v>0</v>
      </c>
      <c r="BO11" s="484">
        <f t="shared" si="51"/>
        <v>0</v>
      </c>
      <c r="BP11" s="152"/>
      <c r="BQ11" s="293"/>
      <c r="BR11" s="589">
        <f t="shared" si="24"/>
        <v>0</v>
      </c>
      <c r="BS11" s="484">
        <f t="shared" si="25"/>
        <v>0</v>
      </c>
      <c r="BT11" s="484">
        <f t="shared" si="26"/>
        <v>0</v>
      </c>
      <c r="BU11" s="484">
        <f t="shared" si="52"/>
        <v>0</v>
      </c>
      <c r="BV11" s="152"/>
      <c r="BW11" s="589">
        <f t="shared" si="27"/>
        <v>0</v>
      </c>
      <c r="BX11" s="484">
        <f t="shared" si="28"/>
        <v>0</v>
      </c>
      <c r="BY11" s="484">
        <f t="shared" si="29"/>
        <v>0</v>
      </c>
      <c r="BZ11" s="484">
        <f t="shared" si="53"/>
        <v>0</v>
      </c>
      <c r="CA11" s="152"/>
      <c r="CB11" s="589">
        <f t="shared" si="30"/>
        <v>0</v>
      </c>
      <c r="CC11" s="484">
        <f t="shared" si="31"/>
        <v>0</v>
      </c>
      <c r="CD11" s="484">
        <f t="shared" si="32"/>
        <v>0</v>
      </c>
      <c r="CE11" s="484">
        <f t="shared" si="54"/>
        <v>0</v>
      </c>
      <c r="CF11" s="152"/>
      <c r="CG11" s="589">
        <f t="shared" si="33"/>
        <v>0</v>
      </c>
      <c r="CH11" s="484">
        <f t="shared" si="34"/>
        <v>0</v>
      </c>
      <c r="CI11" s="484">
        <f t="shared" si="35"/>
        <v>0</v>
      </c>
      <c r="CJ11" s="484">
        <f t="shared" si="55"/>
        <v>0</v>
      </c>
      <c r="CK11" s="152"/>
    </row>
    <row r="12" spans="1:179" s="144" customFormat="1" ht="9.75" customHeight="1" x14ac:dyDescent="0.15">
      <c r="A12" s="472" t="s">
        <v>137</v>
      </c>
      <c r="B12" s="145">
        <v>0.06</v>
      </c>
      <c r="C12" s="126">
        <v>-1.7999999999999999E-2</v>
      </c>
      <c r="D12" s="429">
        <v>0</v>
      </c>
      <c r="E12" s="427">
        <v>0</v>
      </c>
      <c r="F12" s="146">
        <v>0</v>
      </c>
      <c r="G12" s="147">
        <v>0.05</v>
      </c>
      <c r="H12" s="484">
        <f t="shared" si="56"/>
        <v>0</v>
      </c>
      <c r="I12" s="484">
        <f t="shared" si="57"/>
        <v>0</v>
      </c>
      <c r="J12" s="148">
        <f t="shared" si="58"/>
        <v>0.15762500000000013</v>
      </c>
      <c r="K12" s="484">
        <f t="shared" si="59"/>
        <v>0</v>
      </c>
      <c r="L12" s="484">
        <f t="shared" si="60"/>
        <v>0</v>
      </c>
      <c r="M12" s="484">
        <f t="shared" si="61"/>
        <v>0</v>
      </c>
      <c r="N12" s="484">
        <f t="shared" si="62"/>
        <v>0</v>
      </c>
      <c r="O12" s="148">
        <f t="shared" si="63"/>
        <v>0</v>
      </c>
      <c r="P12" s="484">
        <f t="shared" si="64"/>
        <v>0</v>
      </c>
      <c r="Q12" s="484">
        <f t="shared" si="65"/>
        <v>0</v>
      </c>
      <c r="R12" s="484">
        <f t="shared" si="66"/>
        <v>0</v>
      </c>
      <c r="S12" s="484">
        <f t="shared" si="67"/>
        <v>0</v>
      </c>
      <c r="T12" s="126">
        <f t="shared" si="68"/>
        <v>0</v>
      </c>
      <c r="U12" s="293"/>
      <c r="V12" s="543">
        <f>SUM(IF((12*(IF(ISBLANK(E12),C12,E12)))+(IF(ISBLANK(D12),B12,D12)) &lt; 0, 0, (12*(IF(ISBLANK(E12),C12,E12)))+(IF(ISBLANK(D12),B12,D12))))*12</f>
        <v>0</v>
      </c>
      <c r="W12" s="413">
        <f>SUM(IF((15*(IF(ISBLANK(E12),C12,E12)))+(IF(ISBLANK(D12),B12,D12)) &lt; 0, 0, (15*(IF(ISBLANK(E12),C12,E12)))+(IF(ISBLANK(D12),B12,D12))))*12</f>
        <v>0</v>
      </c>
      <c r="X12" s="418">
        <f>SUM(IF((18*(IF(ISBLANK(E12),C12,E12)))+(IF(ISBLANK(D12),B12,D12)) &lt; 0, 0, (18*(IF(ISBLANK(E12),C12,E12)))+(IF(ISBLANK(D12),B12,D12))))*12</f>
        <v>0</v>
      </c>
      <c r="Y12" s="151"/>
      <c r="Z12" s="571">
        <v>0</v>
      </c>
      <c r="AA12" s="609"/>
      <c r="AB12" s="589">
        <f t="shared" si="0"/>
        <v>0</v>
      </c>
      <c r="AC12" s="484">
        <f t="shared" si="1"/>
        <v>0</v>
      </c>
      <c r="AD12" s="484">
        <f t="shared" si="2"/>
        <v>0</v>
      </c>
      <c r="AE12" s="484">
        <f t="shared" si="36"/>
        <v>0</v>
      </c>
      <c r="AF12" s="152"/>
      <c r="AG12" s="589">
        <f t="shared" si="3"/>
        <v>0.05</v>
      </c>
      <c r="AH12" s="484">
        <f t="shared" si="4"/>
        <v>0.05</v>
      </c>
      <c r="AI12" s="484">
        <f t="shared" si="5"/>
        <v>0.05</v>
      </c>
      <c r="AJ12" s="484">
        <f t="shared" si="37"/>
        <v>0.15000000000000002</v>
      </c>
      <c r="AK12" s="152"/>
      <c r="AL12" s="589">
        <f t="shared" si="6"/>
        <v>0</v>
      </c>
      <c r="AM12" s="484">
        <f t="shared" si="7"/>
        <v>0</v>
      </c>
      <c r="AN12" s="484">
        <f t="shared" si="8"/>
        <v>0</v>
      </c>
      <c r="AO12" s="484">
        <f t="shared" si="38"/>
        <v>0</v>
      </c>
      <c r="AP12" s="152"/>
      <c r="AQ12" s="589">
        <f t="shared" si="9"/>
        <v>0</v>
      </c>
      <c r="AR12" s="484">
        <f t="shared" si="10"/>
        <v>0</v>
      </c>
      <c r="AS12" s="484">
        <f t="shared" si="11"/>
        <v>0</v>
      </c>
      <c r="AT12" s="484">
        <f t="shared" si="39"/>
        <v>0</v>
      </c>
      <c r="AU12" s="152"/>
      <c r="AV12" s="609"/>
      <c r="AW12" s="589">
        <f t="shared" si="12"/>
        <v>0</v>
      </c>
      <c r="AX12" s="484">
        <f t="shared" si="13"/>
        <v>0</v>
      </c>
      <c r="AY12" s="484">
        <f t="shared" si="14"/>
        <v>0</v>
      </c>
      <c r="AZ12" s="484">
        <f t="shared" si="40"/>
        <v>0</v>
      </c>
      <c r="BA12" s="152"/>
      <c r="BB12" s="589">
        <f t="shared" si="15"/>
        <v>0</v>
      </c>
      <c r="BC12" s="484">
        <f t="shared" si="16"/>
        <v>0</v>
      </c>
      <c r="BD12" s="484">
        <f t="shared" si="17"/>
        <v>0</v>
      </c>
      <c r="BE12" s="484">
        <f t="shared" si="41"/>
        <v>0</v>
      </c>
      <c r="BF12" s="152"/>
      <c r="BG12" s="589">
        <f t="shared" si="18"/>
        <v>0</v>
      </c>
      <c r="BH12" s="484">
        <f t="shared" si="19"/>
        <v>0</v>
      </c>
      <c r="BI12" s="484">
        <f t="shared" si="20"/>
        <v>0</v>
      </c>
      <c r="BJ12" s="484">
        <f t="shared" si="42"/>
        <v>0</v>
      </c>
      <c r="BK12" s="152"/>
      <c r="BL12" s="589">
        <f t="shared" si="21"/>
        <v>0</v>
      </c>
      <c r="BM12" s="484">
        <f t="shared" si="22"/>
        <v>0</v>
      </c>
      <c r="BN12" s="484">
        <f t="shared" si="23"/>
        <v>0</v>
      </c>
      <c r="BO12" s="484">
        <f t="shared" si="51"/>
        <v>0</v>
      </c>
      <c r="BP12" s="152"/>
      <c r="BQ12" s="293"/>
      <c r="BR12" s="589">
        <f t="shared" si="24"/>
        <v>0</v>
      </c>
      <c r="BS12" s="484">
        <f t="shared" si="25"/>
        <v>0</v>
      </c>
      <c r="BT12" s="484">
        <f t="shared" si="26"/>
        <v>0</v>
      </c>
      <c r="BU12" s="484">
        <f t="shared" si="52"/>
        <v>0</v>
      </c>
      <c r="BV12" s="152"/>
      <c r="BW12" s="589">
        <f t="shared" si="27"/>
        <v>0</v>
      </c>
      <c r="BX12" s="484">
        <f t="shared" si="28"/>
        <v>0</v>
      </c>
      <c r="BY12" s="484">
        <f t="shared" si="29"/>
        <v>0</v>
      </c>
      <c r="BZ12" s="484">
        <f t="shared" si="53"/>
        <v>0</v>
      </c>
      <c r="CA12" s="152"/>
      <c r="CB12" s="589">
        <f t="shared" si="30"/>
        <v>0</v>
      </c>
      <c r="CC12" s="484">
        <f t="shared" si="31"/>
        <v>0</v>
      </c>
      <c r="CD12" s="484">
        <f t="shared" si="32"/>
        <v>0</v>
      </c>
      <c r="CE12" s="484">
        <f t="shared" si="54"/>
        <v>0</v>
      </c>
      <c r="CF12" s="152"/>
      <c r="CG12" s="589">
        <f t="shared" si="33"/>
        <v>0</v>
      </c>
      <c r="CH12" s="484">
        <f t="shared" si="34"/>
        <v>0</v>
      </c>
      <c r="CI12" s="484">
        <f t="shared" si="35"/>
        <v>0</v>
      </c>
      <c r="CJ12" s="484">
        <f t="shared" si="55"/>
        <v>0</v>
      </c>
      <c r="CK12" s="152"/>
      <c r="CL12" s="153"/>
      <c r="CM12" s="153"/>
      <c r="CN12" s="153"/>
      <c r="CO12" s="153"/>
      <c r="CP12" s="153"/>
      <c r="CQ12" s="153"/>
      <c r="CR12" s="153"/>
      <c r="CS12" s="153"/>
      <c r="CT12" s="153"/>
      <c r="CU12" s="153"/>
      <c r="CV12" s="153"/>
      <c r="CW12" s="153"/>
      <c r="CX12" s="153"/>
      <c r="CY12" s="153"/>
      <c r="CZ12" s="153"/>
      <c r="DA12" s="153"/>
      <c r="DB12" s="153"/>
      <c r="DC12" s="153"/>
      <c r="DD12" s="153"/>
      <c r="DE12" s="153"/>
      <c r="DF12" s="153"/>
      <c r="DG12" s="153"/>
      <c r="DH12" s="153"/>
      <c r="DI12" s="153"/>
      <c r="DJ12" s="153"/>
      <c r="DK12" s="153"/>
      <c r="DL12" s="153"/>
      <c r="DM12" s="153"/>
      <c r="DN12" s="153"/>
      <c r="DO12" s="153"/>
      <c r="DP12" s="153"/>
      <c r="DQ12" s="153"/>
      <c r="DR12" s="153"/>
      <c r="DS12" s="153"/>
      <c r="DT12" s="153"/>
      <c r="DU12" s="153"/>
      <c r="DV12" s="153"/>
      <c r="DW12" s="153"/>
      <c r="DX12" s="153"/>
      <c r="DY12" s="153"/>
      <c r="DZ12" s="153"/>
      <c r="EA12" s="153"/>
      <c r="EB12" s="153"/>
      <c r="EC12" s="153"/>
      <c r="ED12" s="153"/>
      <c r="EE12" s="153"/>
      <c r="EF12" s="153"/>
      <c r="EG12" s="153"/>
      <c r="EH12" s="153"/>
      <c r="EI12" s="153"/>
      <c r="EJ12" s="153"/>
      <c r="EK12" s="153"/>
      <c r="EL12" s="153"/>
      <c r="EM12" s="153"/>
      <c r="EN12" s="153"/>
      <c r="EO12" s="153"/>
      <c r="EP12" s="153"/>
      <c r="EQ12" s="153"/>
      <c r="ER12" s="153"/>
      <c r="ES12" s="153"/>
      <c r="ET12" s="153"/>
      <c r="EU12" s="153"/>
      <c r="EV12" s="153"/>
      <c r="EW12" s="153"/>
      <c r="EX12" s="153"/>
      <c r="EY12" s="153"/>
      <c r="EZ12" s="153"/>
      <c r="FA12" s="153"/>
      <c r="FB12" s="153"/>
      <c r="FC12" s="153"/>
      <c r="FD12" s="153"/>
      <c r="FE12" s="153"/>
      <c r="FF12" s="153"/>
      <c r="FG12" s="153"/>
      <c r="FH12" s="153"/>
      <c r="FI12" s="153"/>
      <c r="FJ12" s="153"/>
      <c r="FK12" s="153"/>
      <c r="FL12" s="153"/>
      <c r="FM12" s="153"/>
      <c r="FN12" s="153"/>
      <c r="FO12" s="153"/>
      <c r="FP12" s="153"/>
      <c r="FQ12" s="153"/>
      <c r="FR12" s="153"/>
      <c r="FS12" s="153"/>
      <c r="FT12" s="153"/>
      <c r="FU12" s="153"/>
      <c r="FV12" s="153"/>
      <c r="FW12" s="153"/>
    </row>
    <row r="13" spans="1:179" s="144" customFormat="1" ht="9.75" customHeight="1" thickBot="1" x14ac:dyDescent="0.2">
      <c r="A13" s="512" t="s">
        <v>139</v>
      </c>
      <c r="B13" s="154">
        <v>0.04</v>
      </c>
      <c r="C13" s="155">
        <v>-1.4999999999999999E-2</v>
      </c>
      <c r="D13" s="477">
        <f>SUM(('Your Estimation'!B58+1)^(1/12)-1)</f>
        <v>0</v>
      </c>
      <c r="E13" s="428">
        <v>0</v>
      </c>
      <c r="F13" s="156">
        <v>0</v>
      </c>
      <c r="G13" s="157">
        <v>0</v>
      </c>
      <c r="H13" s="485">
        <f t="shared" si="56"/>
        <v>0</v>
      </c>
      <c r="I13" s="485">
        <f t="shared" si="57"/>
        <v>0</v>
      </c>
      <c r="J13" s="158">
        <f t="shared" si="58"/>
        <v>0</v>
      </c>
      <c r="K13" s="485">
        <f t="shared" si="59"/>
        <v>0</v>
      </c>
      <c r="L13" s="485">
        <f t="shared" si="60"/>
        <v>0</v>
      </c>
      <c r="M13" s="485">
        <f t="shared" si="61"/>
        <v>0</v>
      </c>
      <c r="N13" s="485">
        <f t="shared" si="62"/>
        <v>0</v>
      </c>
      <c r="O13" s="158">
        <f t="shared" si="63"/>
        <v>0</v>
      </c>
      <c r="P13" s="485">
        <f t="shared" si="64"/>
        <v>0</v>
      </c>
      <c r="Q13" s="485">
        <f t="shared" si="65"/>
        <v>0</v>
      </c>
      <c r="R13" s="485">
        <f t="shared" si="66"/>
        <v>0</v>
      </c>
      <c r="S13" s="485">
        <f t="shared" si="67"/>
        <v>0</v>
      </c>
      <c r="T13" s="155">
        <f t="shared" si="68"/>
        <v>0</v>
      </c>
      <c r="U13" s="296"/>
      <c r="V13" s="544">
        <f>SUM(('Your Estimation'!B58))</f>
        <v>0</v>
      </c>
      <c r="W13" s="414">
        <f>SUM(('Your Estimation'!B58))</f>
        <v>0</v>
      </c>
      <c r="X13" s="545">
        <f>SUM(('Your Estimation'!B58))</f>
        <v>0</v>
      </c>
      <c r="Y13" s="161"/>
      <c r="Z13" s="572">
        <v>0</v>
      </c>
      <c r="AA13" s="610"/>
      <c r="AB13" s="590">
        <f t="shared" si="0"/>
        <v>0</v>
      </c>
      <c r="AC13" s="485">
        <f t="shared" si="1"/>
        <v>0</v>
      </c>
      <c r="AD13" s="485">
        <f t="shared" si="2"/>
        <v>0</v>
      </c>
      <c r="AE13" s="485">
        <f t="shared" si="36"/>
        <v>0</v>
      </c>
      <c r="AF13" s="162"/>
      <c r="AG13" s="590">
        <f t="shared" si="3"/>
        <v>0</v>
      </c>
      <c r="AH13" s="485">
        <f t="shared" si="4"/>
        <v>0</v>
      </c>
      <c r="AI13" s="485">
        <f t="shared" si="5"/>
        <v>0</v>
      </c>
      <c r="AJ13" s="485">
        <f t="shared" si="37"/>
        <v>0</v>
      </c>
      <c r="AK13" s="162"/>
      <c r="AL13" s="590">
        <f t="shared" si="6"/>
        <v>0</v>
      </c>
      <c r="AM13" s="485">
        <f t="shared" si="7"/>
        <v>0</v>
      </c>
      <c r="AN13" s="485">
        <f t="shared" si="8"/>
        <v>0</v>
      </c>
      <c r="AO13" s="485">
        <f t="shared" si="38"/>
        <v>0</v>
      </c>
      <c r="AP13" s="162"/>
      <c r="AQ13" s="590">
        <f t="shared" si="9"/>
        <v>0</v>
      </c>
      <c r="AR13" s="485">
        <f t="shared" si="10"/>
        <v>0</v>
      </c>
      <c r="AS13" s="485">
        <f t="shared" si="11"/>
        <v>0</v>
      </c>
      <c r="AT13" s="485">
        <f t="shared" si="39"/>
        <v>0</v>
      </c>
      <c r="AU13" s="162"/>
      <c r="AV13" s="610"/>
      <c r="AW13" s="590">
        <f t="shared" si="12"/>
        <v>0</v>
      </c>
      <c r="AX13" s="485">
        <f t="shared" si="13"/>
        <v>0</v>
      </c>
      <c r="AY13" s="485">
        <f t="shared" si="14"/>
        <v>0</v>
      </c>
      <c r="AZ13" s="485">
        <f t="shared" si="40"/>
        <v>0</v>
      </c>
      <c r="BA13" s="162"/>
      <c r="BB13" s="590">
        <f t="shared" si="15"/>
        <v>0</v>
      </c>
      <c r="BC13" s="485">
        <f t="shared" si="16"/>
        <v>0</v>
      </c>
      <c r="BD13" s="485">
        <f t="shared" si="17"/>
        <v>0</v>
      </c>
      <c r="BE13" s="485">
        <f t="shared" si="41"/>
        <v>0</v>
      </c>
      <c r="BF13" s="162"/>
      <c r="BG13" s="590">
        <f t="shared" si="18"/>
        <v>0</v>
      </c>
      <c r="BH13" s="485">
        <f t="shared" si="19"/>
        <v>0</v>
      </c>
      <c r="BI13" s="485">
        <f t="shared" si="20"/>
        <v>0</v>
      </c>
      <c r="BJ13" s="485">
        <f t="shared" si="42"/>
        <v>0</v>
      </c>
      <c r="BK13" s="162"/>
      <c r="BL13" s="590">
        <f t="shared" si="21"/>
        <v>0</v>
      </c>
      <c r="BM13" s="485">
        <f t="shared" si="22"/>
        <v>0</v>
      </c>
      <c r="BN13" s="485">
        <f t="shared" si="23"/>
        <v>0</v>
      </c>
      <c r="BO13" s="485">
        <f t="shared" si="51"/>
        <v>0</v>
      </c>
      <c r="BP13" s="162"/>
      <c r="BQ13" s="296"/>
      <c r="BR13" s="590">
        <f t="shared" si="24"/>
        <v>0</v>
      </c>
      <c r="BS13" s="485">
        <f t="shared" si="25"/>
        <v>0</v>
      </c>
      <c r="BT13" s="485">
        <f t="shared" si="26"/>
        <v>0</v>
      </c>
      <c r="BU13" s="485">
        <f t="shared" si="52"/>
        <v>0</v>
      </c>
      <c r="BV13" s="162"/>
      <c r="BW13" s="590">
        <f t="shared" si="27"/>
        <v>0</v>
      </c>
      <c r="BX13" s="485">
        <f t="shared" si="28"/>
        <v>0</v>
      </c>
      <c r="BY13" s="485">
        <f t="shared" si="29"/>
        <v>0</v>
      </c>
      <c r="BZ13" s="485">
        <f t="shared" si="53"/>
        <v>0</v>
      </c>
      <c r="CA13" s="162"/>
      <c r="CB13" s="590">
        <f t="shared" si="30"/>
        <v>0</v>
      </c>
      <c r="CC13" s="485">
        <f t="shared" si="31"/>
        <v>0</v>
      </c>
      <c r="CD13" s="485">
        <f t="shared" si="32"/>
        <v>0</v>
      </c>
      <c r="CE13" s="485">
        <f t="shared" si="54"/>
        <v>0</v>
      </c>
      <c r="CF13" s="162"/>
      <c r="CG13" s="590">
        <f t="shared" si="33"/>
        <v>0</v>
      </c>
      <c r="CH13" s="485">
        <f t="shared" si="34"/>
        <v>0</v>
      </c>
      <c r="CI13" s="485">
        <f t="shared" si="35"/>
        <v>0</v>
      </c>
      <c r="CJ13" s="485">
        <f t="shared" si="55"/>
        <v>0</v>
      </c>
      <c r="CK13" s="162"/>
      <c r="CL13" s="153"/>
      <c r="CM13" s="153"/>
      <c r="CN13" s="153"/>
      <c r="CO13" s="153"/>
      <c r="CP13" s="153"/>
      <c r="CQ13" s="153"/>
      <c r="CR13" s="153"/>
      <c r="CS13" s="153"/>
      <c r="CT13" s="153"/>
      <c r="CU13" s="153"/>
      <c r="CV13" s="153"/>
      <c r="CW13" s="153"/>
      <c r="CX13" s="153"/>
      <c r="CY13" s="153"/>
      <c r="CZ13" s="153"/>
      <c r="DA13" s="153"/>
      <c r="DB13" s="153"/>
      <c r="DC13" s="153"/>
      <c r="DD13" s="153"/>
      <c r="DE13" s="153"/>
      <c r="DF13" s="153"/>
      <c r="DG13" s="153"/>
      <c r="DH13" s="153"/>
      <c r="DI13" s="153"/>
      <c r="DJ13" s="153"/>
      <c r="DK13" s="153"/>
      <c r="DL13" s="153"/>
      <c r="DM13" s="153"/>
      <c r="DN13" s="153"/>
      <c r="DO13" s="153"/>
      <c r="DP13" s="153"/>
      <c r="DQ13" s="153"/>
      <c r="DR13" s="153"/>
      <c r="DS13" s="153"/>
      <c r="DT13" s="153"/>
      <c r="DU13" s="153"/>
      <c r="DV13" s="153"/>
      <c r="DW13" s="153"/>
      <c r="DX13" s="153"/>
      <c r="DY13" s="153"/>
      <c r="DZ13" s="153"/>
      <c r="EA13" s="153"/>
      <c r="EB13" s="153"/>
      <c r="EC13" s="153"/>
      <c r="ED13" s="153"/>
      <c r="EE13" s="153"/>
      <c r="EF13" s="153"/>
      <c r="EG13" s="153"/>
      <c r="EH13" s="153"/>
      <c r="EI13" s="153"/>
      <c r="EJ13" s="153"/>
      <c r="EK13" s="153"/>
      <c r="EL13" s="153"/>
      <c r="EM13" s="153"/>
      <c r="EN13" s="153"/>
      <c r="EO13" s="153"/>
      <c r="EP13" s="153"/>
      <c r="EQ13" s="153"/>
      <c r="ER13" s="153"/>
      <c r="ES13" s="153"/>
      <c r="ET13" s="153"/>
      <c r="EU13" s="153"/>
      <c r="EV13" s="153"/>
      <c r="EW13" s="153"/>
      <c r="EX13" s="153"/>
      <c r="EY13" s="153"/>
      <c r="EZ13" s="153"/>
      <c r="FA13" s="153"/>
      <c r="FB13" s="153"/>
      <c r="FC13" s="153"/>
      <c r="FD13" s="153"/>
      <c r="FE13" s="153"/>
      <c r="FF13" s="153"/>
      <c r="FG13" s="153"/>
      <c r="FH13" s="153"/>
      <c r="FI13" s="153"/>
      <c r="FJ13" s="153"/>
      <c r="FK13" s="153"/>
      <c r="FL13" s="153"/>
      <c r="FM13" s="153"/>
      <c r="FN13" s="153"/>
      <c r="FO13" s="153"/>
      <c r="FP13" s="153"/>
      <c r="FQ13" s="153"/>
      <c r="FR13" s="153"/>
      <c r="FS13" s="153"/>
      <c r="FT13" s="153"/>
      <c r="FU13" s="153"/>
      <c r="FV13" s="153"/>
      <c r="FW13" s="153"/>
    </row>
    <row r="14" spans="1:179" s="144" customFormat="1" ht="9.75" customHeight="1" x14ac:dyDescent="0.15">
      <c r="A14" s="471" t="s">
        <v>140</v>
      </c>
      <c r="B14" s="163">
        <v>5000000</v>
      </c>
      <c r="C14" s="164">
        <v>300000000</v>
      </c>
      <c r="D14" s="165">
        <f>SUM(E14/10)</f>
        <v>999900000</v>
      </c>
      <c r="E14" s="513">
        <f>SUM('Your Estimation'!B68*1000000)</f>
        <v>9999000000</v>
      </c>
      <c r="F14" s="498">
        <f>SUM(IF(((1-(Z18/(IF(ISBLANK(D14),B14,(IF(D14=0,9.99999999999999E+29,D14))))))*SUM(F9:F13))&lt;0,0,((1-(Z18/(IF(ISBLANK(D14),B14,(IF(D14=0,9.99999999999999E+29,D14))))))*SUM(F9:F13))))</f>
        <v>9.9999849984998505E-3</v>
      </c>
      <c r="G14" s="499">
        <f>SUM(IF(((1-(F18/(IF(ISBLANK(D14),B14,(IF(D14=0,9.99999999999999E+29,D14))))))*SUM(G9:G13))&lt;0,0,((1-(F18/(IF(ISBLANK(D14),B14,(IF(D14=0,9.99999999999999E+29,D14))))))*SUM(G9:G13))))</f>
        <v>0.11999974247125562</v>
      </c>
      <c r="H14" s="499">
        <f>SUM(IF(((1-(G18/(IF(ISBLANK(D14),B14,(IF(D14=0,9.99999999999999E+29,D14))))))*SUM(H9:H13))&lt;0,0,((1-(G18/(IF(ISBLANK(D14),B14,(IF(D14=0,9.99999999999999E+29,D14))))))*SUM(H9:H13))))</f>
        <v>0</v>
      </c>
      <c r="I14" s="499">
        <f>SUM(IF(((1-(H18/(IF(ISBLANK(D14),B14,(IF(D14=0,9.99999999999999E+29,D14))))))*SUM(I9:I13))&lt;0,0,((1-(H18/(IF(ISBLANK(D14),B14,(IF(D14=0,9.99999999999999E+29,D14))))))*SUM(I9:I13))))</f>
        <v>0</v>
      </c>
      <c r="J14" s="500">
        <f>SUM(((1+F14)*(1+F14)*(1+F14)*(1+G14)*(1+G14)*(1+G14)*(1+H14)*(1+H14)*(1+H14)*(1+I14)*(1+I14)*(1+I14))-1)</f>
        <v>0.44749766033146221</v>
      </c>
      <c r="K14" s="499">
        <f>SUM(IF(((1-(I18/(IF(ISBLANK(E14),C14,(IF(E14=0,9.99999999999999E+29,E14))))))*SUM(K9:K13))&lt;0,0,((1-(I18/(IF(ISBLANK(E14),C14,(IF(E14=0,9.99999999999999E+29,E14))))))*SUM(K9:K13))))</f>
        <v>0</v>
      </c>
      <c r="L14" s="499">
        <f>SUM(IF(((1-(K18/(IF(ISBLANK(E14),C14,(IF(E14=0,9.99999999999999E+29,E14))))))*SUM(L9:L13))&lt;0,0,((1-(K18/(IF(ISBLANK(E14),C14,(IF(E14=0,9.99999999999999E+29,E14))))))*SUM(L9:L13))))</f>
        <v>0</v>
      </c>
      <c r="M14" s="499">
        <f>SUM(IF(((1-(L18/(IF(ISBLANK(E14),C14,(IF(E14=0,9.99999999999999E+29,E14))))))*SUM(M9:M13))&lt;0,0,((1-(L18/(IF(ISBLANK(E14),C14,(IF(E14=0,9.99999999999999E+29,E14))))))*SUM(M9:M13))))</f>
        <v>0</v>
      </c>
      <c r="N14" s="499">
        <f>SUM(IF(((1-(M18/(IF(ISBLANK(E14),C14,(IF(E14=0,9.99999999999999E+29,E14))))))*SUM(N9:N13))&lt;0,0,((1-(M18/(IF(ISBLANK(E14),C14,(IF(E14=0,9.99999999999999E+29,E14))))))*SUM(N9:N13))))</f>
        <v>0</v>
      </c>
      <c r="O14" s="501">
        <f t="shared" si="63"/>
        <v>0</v>
      </c>
      <c r="P14" s="499">
        <f>SUM(IF(((1-(N18/(IF(ISBLANK(E14),C14,(IF(E14=0,9.99999999999999E+29,E14))))))*SUM(P9:P13))&lt;0,0,((1-(N18/(IF(ISBLANK(E14),C14,(IF(E14=0,9.99999999999999E+29,E14))))))*SUM(P9:P13))))</f>
        <v>0</v>
      </c>
      <c r="Q14" s="499">
        <f>SUM(IF(((1-(P18/(IF(ISBLANK(E14),C14,(IF(E14=0,9.99999999999999E+29,E14))))))*SUM(Q9:Q13))&lt;0,0,((1-(P18/(IF(ISBLANK(E14),C14,(IF(E14=0,9.99999999999999E+29,E14))))))*SUM(Q9:Q13))))</f>
        <v>0</v>
      </c>
      <c r="R14" s="499">
        <f>SUM(IF(((1-(Q18/(IF(ISBLANK(E14),C14,(IF(E14=0,9.99999999999999E+29,E14))))))*SUM(R9:R13))&lt;0,0,((1-(Q18/(IF(ISBLANK(E14),C14,(IF(E14=0,9.99999999999999E+29,E14))))))*SUM(R9:R13))))</f>
        <v>0</v>
      </c>
      <c r="S14" s="499">
        <f>SUM(IF(((1-(R18/(IF(ISBLANK(E14),C14,(IF(E14=0,9.99999999999999E+29,E14))))))*SUM(S9:S13))&lt;0,0,((1-(R18/(IF(ISBLANK(E14),C14,(IF(E14=0,9.99999999999999E+29,E14))))))*SUM(S9:S13))))</f>
        <v>0</v>
      </c>
      <c r="T14" s="503">
        <f t="shared" si="68"/>
        <v>0</v>
      </c>
      <c r="U14" s="537"/>
      <c r="V14" s="546">
        <f>SUM(IF(((1-(T18/(IF(ISBLANK(E14),C14,(IF(E14=0,9.99999999999999E+29,E14))))))*SUM(V9:V13))&lt;0,0,((1-(T18/(IF(ISBLANK(E14),C14,(IF(E14=0,9.99999999999999E+29,E14))))))*SUM(V9:V13))))</f>
        <v>0</v>
      </c>
      <c r="W14" s="547">
        <f>SUM(IF(((1-(V18/(IF(ISBLANK(E14),C14,(IF(E14=0,9.99999999999999E+29,E14))))))*SUM(W9:W13))&lt;0,0,((1-(V18/(IF(ISBLANK(E14),C14,(IF(E14=0,9.99999999999999E+29,E14))))))*SUM(W9:W13))))</f>
        <v>0</v>
      </c>
      <c r="X14" s="548">
        <f>SUM(IF(((1-(W18/(IF(ISBLANK(E14),C14,(IF(E14=0,9.99999999999999E+29,E14))))))*SUM(X9:X13))&lt;0,0,((1-(W18/(IF(ISBLANK(E14),C14,(IF(E14=0,9.99999999999999E+29,E14))))))*SUM(X9:X13))))</f>
        <v>0</v>
      </c>
      <c r="Y14" s="537"/>
      <c r="Z14" s="573">
        <v>0</v>
      </c>
      <c r="AA14" s="611"/>
      <c r="AB14" s="591">
        <f t="shared" si="0"/>
        <v>9.9999849984998505E-3</v>
      </c>
      <c r="AC14" s="499">
        <f t="shared" si="1"/>
        <v>9.9999849984998505E-3</v>
      </c>
      <c r="AD14" s="499">
        <f t="shared" si="2"/>
        <v>9.9999849984998505E-3</v>
      </c>
      <c r="AE14" s="499">
        <f t="shared" si="36"/>
        <v>2.9999954995499553E-2</v>
      </c>
      <c r="AF14" s="597"/>
      <c r="AG14" s="591">
        <f t="shared" si="3"/>
        <v>0.11999974247125562</v>
      </c>
      <c r="AH14" s="499">
        <f t="shared" si="4"/>
        <v>0.11999974247125562</v>
      </c>
      <c r="AI14" s="499">
        <f t="shared" si="5"/>
        <v>0.11999974247125562</v>
      </c>
      <c r="AJ14" s="499">
        <f t="shared" si="37"/>
        <v>0.35999922741376689</v>
      </c>
      <c r="AK14" s="597"/>
      <c r="AL14" s="591">
        <f t="shared" si="6"/>
        <v>0</v>
      </c>
      <c r="AM14" s="499">
        <f t="shared" si="7"/>
        <v>0</v>
      </c>
      <c r="AN14" s="499">
        <f t="shared" si="8"/>
        <v>0</v>
      </c>
      <c r="AO14" s="499">
        <f t="shared" si="38"/>
        <v>0</v>
      </c>
      <c r="AP14" s="597"/>
      <c r="AQ14" s="591">
        <f t="shared" si="9"/>
        <v>0</v>
      </c>
      <c r="AR14" s="499">
        <f t="shared" si="10"/>
        <v>0</v>
      </c>
      <c r="AS14" s="499">
        <f t="shared" si="11"/>
        <v>0</v>
      </c>
      <c r="AT14" s="499">
        <f t="shared" si="39"/>
        <v>0</v>
      </c>
      <c r="AU14" s="597"/>
      <c r="AV14" s="611"/>
      <c r="AW14" s="591">
        <f t="shared" si="12"/>
        <v>0</v>
      </c>
      <c r="AX14" s="499">
        <f t="shared" si="13"/>
        <v>0</v>
      </c>
      <c r="AY14" s="499">
        <f t="shared" si="14"/>
        <v>0</v>
      </c>
      <c r="AZ14" s="499">
        <f t="shared" si="40"/>
        <v>0</v>
      </c>
      <c r="BA14" s="597"/>
      <c r="BB14" s="591">
        <f t="shared" si="15"/>
        <v>0</v>
      </c>
      <c r="BC14" s="499">
        <f t="shared" si="16"/>
        <v>0</v>
      </c>
      <c r="BD14" s="499">
        <f t="shared" si="17"/>
        <v>0</v>
      </c>
      <c r="BE14" s="499">
        <f t="shared" si="41"/>
        <v>0</v>
      </c>
      <c r="BF14" s="597"/>
      <c r="BG14" s="591">
        <f t="shared" si="18"/>
        <v>0</v>
      </c>
      <c r="BH14" s="499">
        <f t="shared" si="19"/>
        <v>0</v>
      </c>
      <c r="BI14" s="499">
        <f t="shared" si="20"/>
        <v>0</v>
      </c>
      <c r="BJ14" s="499">
        <f t="shared" si="42"/>
        <v>0</v>
      </c>
      <c r="BK14" s="597"/>
      <c r="BL14" s="591">
        <f t="shared" si="21"/>
        <v>0</v>
      </c>
      <c r="BM14" s="499">
        <f t="shared" si="22"/>
        <v>0</v>
      </c>
      <c r="BN14" s="499">
        <f t="shared" si="23"/>
        <v>0</v>
      </c>
      <c r="BO14" s="499">
        <f t="shared" si="51"/>
        <v>0</v>
      </c>
      <c r="BP14" s="597"/>
      <c r="BQ14" s="537"/>
      <c r="BR14" s="591">
        <f t="shared" si="24"/>
        <v>0</v>
      </c>
      <c r="BS14" s="499">
        <f t="shared" si="25"/>
        <v>0</v>
      </c>
      <c r="BT14" s="499">
        <f t="shared" si="26"/>
        <v>0</v>
      </c>
      <c r="BU14" s="499">
        <f t="shared" si="52"/>
        <v>0</v>
      </c>
      <c r="BV14" s="597"/>
      <c r="BW14" s="591">
        <f t="shared" si="27"/>
        <v>0</v>
      </c>
      <c r="BX14" s="499">
        <f t="shared" si="28"/>
        <v>0</v>
      </c>
      <c r="BY14" s="499">
        <f t="shared" si="29"/>
        <v>0</v>
      </c>
      <c r="BZ14" s="499">
        <f t="shared" si="53"/>
        <v>0</v>
      </c>
      <c r="CA14" s="597"/>
      <c r="CB14" s="591">
        <f t="shared" si="30"/>
        <v>0</v>
      </c>
      <c r="CC14" s="499">
        <f t="shared" si="31"/>
        <v>0</v>
      </c>
      <c r="CD14" s="499">
        <f t="shared" si="32"/>
        <v>0</v>
      </c>
      <c r="CE14" s="499">
        <f t="shared" si="54"/>
        <v>0</v>
      </c>
      <c r="CF14" s="597"/>
      <c r="CG14" s="591">
        <f t="shared" si="33"/>
        <v>0</v>
      </c>
      <c r="CH14" s="499">
        <f t="shared" si="34"/>
        <v>0</v>
      </c>
      <c r="CI14" s="499">
        <f t="shared" si="35"/>
        <v>0</v>
      </c>
      <c r="CJ14" s="499">
        <f t="shared" si="55"/>
        <v>0</v>
      </c>
      <c r="CK14" s="166"/>
      <c r="CL14" s="153"/>
      <c r="CM14" s="153"/>
      <c r="CN14" s="153"/>
      <c r="CO14" s="153"/>
      <c r="CP14" s="153"/>
      <c r="CQ14" s="153"/>
      <c r="CR14" s="153"/>
      <c r="CS14" s="153"/>
      <c r="CT14" s="153"/>
      <c r="CU14" s="153"/>
      <c r="CV14" s="153"/>
      <c r="CW14" s="153"/>
      <c r="CX14" s="153"/>
      <c r="CY14" s="153"/>
      <c r="CZ14" s="153"/>
      <c r="DA14" s="153"/>
      <c r="DB14" s="153"/>
      <c r="DC14" s="153"/>
      <c r="DD14" s="153"/>
      <c r="DE14" s="153"/>
      <c r="DF14" s="153"/>
      <c r="DG14" s="153"/>
      <c r="DH14" s="153"/>
      <c r="DI14" s="153"/>
      <c r="DJ14" s="153"/>
      <c r="DK14" s="153"/>
      <c r="DL14" s="153"/>
      <c r="DM14" s="153"/>
      <c r="DN14" s="153"/>
      <c r="DO14" s="153"/>
      <c r="DP14" s="153"/>
      <c r="DQ14" s="153"/>
      <c r="DR14" s="153"/>
      <c r="DS14" s="153"/>
      <c r="DT14" s="153"/>
      <c r="DU14" s="153"/>
      <c r="DV14" s="153"/>
      <c r="DW14" s="153"/>
      <c r="DX14" s="153"/>
      <c r="DY14" s="153"/>
      <c r="DZ14" s="153"/>
      <c r="EA14" s="153"/>
      <c r="EB14" s="153"/>
      <c r="EC14" s="153"/>
      <c r="ED14" s="153"/>
      <c r="EE14" s="153"/>
      <c r="EF14" s="153"/>
      <c r="EG14" s="153"/>
      <c r="EH14" s="153"/>
      <c r="EI14" s="153"/>
      <c r="EJ14" s="153"/>
      <c r="EK14" s="153"/>
      <c r="EL14" s="153"/>
      <c r="EM14" s="153"/>
      <c r="EN14" s="153"/>
      <c r="EO14" s="153"/>
      <c r="EP14" s="153"/>
      <c r="EQ14" s="153"/>
      <c r="ER14" s="153"/>
      <c r="ES14" s="153"/>
      <c r="ET14" s="153"/>
      <c r="EU14" s="153"/>
      <c r="EV14" s="153"/>
      <c r="EW14" s="153"/>
      <c r="EX14" s="153"/>
      <c r="EY14" s="153"/>
      <c r="EZ14" s="153"/>
      <c r="FA14" s="153"/>
      <c r="FB14" s="153"/>
      <c r="FC14" s="153"/>
      <c r="FD14" s="153"/>
      <c r="FE14" s="153"/>
      <c r="FF14" s="153"/>
      <c r="FG14" s="153"/>
      <c r="FH14" s="153"/>
      <c r="FI14" s="153"/>
      <c r="FJ14" s="153"/>
      <c r="FK14" s="153"/>
      <c r="FL14" s="153"/>
      <c r="FM14" s="153"/>
      <c r="FN14" s="153"/>
      <c r="FO14" s="153"/>
      <c r="FP14" s="153"/>
      <c r="FQ14" s="153"/>
      <c r="FR14" s="153"/>
      <c r="FS14" s="153"/>
      <c r="FT14" s="153"/>
      <c r="FU14" s="153"/>
      <c r="FV14" s="153"/>
      <c r="FW14" s="153"/>
    </row>
    <row r="15" spans="1:179" s="144" customFormat="1" ht="9.75" customHeight="1" x14ac:dyDescent="0.15">
      <c r="A15" s="472" t="s">
        <v>141</v>
      </c>
      <c r="B15" s="145">
        <v>0.2</v>
      </c>
      <c r="C15" s="126">
        <v>-1.7999999999999999E-2</v>
      </c>
      <c r="D15" s="476">
        <f>SUM(('Your Estimation'!B18+1)^(1/12)-1)</f>
        <v>0</v>
      </c>
      <c r="E15" s="425">
        <v>0</v>
      </c>
      <c r="F15" s="622">
        <v>0.8</v>
      </c>
      <c r="G15" s="623">
        <v>0.5</v>
      </c>
      <c r="H15" s="502">
        <f>SUM(IF(     IF(ISBLANK(D15),B15,D15)   &gt;   0,   (     IF(ISBLANK(D15),B15,D15)   ),0))</f>
        <v>0</v>
      </c>
      <c r="I15" s="502">
        <f>SUM(IF(     IF(ISBLANK(D15),B15,D15)     +   (1* (IF(ISBLANK(E15),C15,E15))) &gt;   0,   (     IF(ISBLANK(D15),B15,D15)    +  (1* (IF(ISBLANK(E15),C15,E15)) )  ),0))</f>
        <v>0</v>
      </c>
      <c r="J15" s="500">
        <f>SUM(((1+F15)*(1+F15)*(1+F15)*(1+G15)*(1+G15)*(1+G15)*(1+H15)*(1+H15)*(1+H15)*(1+I15)*(1+I15)*(1+I15))-1)</f>
        <v>18.683000000000003</v>
      </c>
      <c r="K15" s="502">
        <f>SUM(IF(     IF(ISBLANK(D15),B15,D15)    +   (2* (IF(ISBLANK(E15),C15,E15))) &gt;   0,   (     IF(ISBLANK(D15),B15,D15)    +  (2* (IF(ISBLANK(E15),C15,E15)) )  ),0))</f>
        <v>0</v>
      </c>
      <c r="L15" s="502">
        <f>SUM(IF(     IF(ISBLANK(D15),B15,D15)    +   (3* (IF(ISBLANK(E15),C15,E15))) &gt;   0,   (     IF(ISBLANK(D15),B15,D15)    +  (3* (IF(ISBLANK(E15),C15,E15)) )  ),0))</f>
        <v>0</v>
      </c>
      <c r="M15" s="502">
        <f>SUM(IF(     IF(ISBLANK(D15),B15,D15)     +   (4* (IF(ISBLANK(E15),C15,E15))) &gt;   0,   (     IF(ISBLANK(D15),B15,D15)   +  (4* (IF(ISBLANK(E15),C15,E15)) )  ),0))</f>
        <v>0</v>
      </c>
      <c r="N15" s="502">
        <f>SUM(IF(     IF(ISBLANK(D15),B15,D15)     +  (5* (IF(ISBLANK(E15),C15,E15))) &gt;   0,   (     IF(ISBLANK(D15),B15,D15)   +  (5* (IF(ISBLANK(E15),C15,E15)) )  ),0))</f>
        <v>0</v>
      </c>
      <c r="O15" s="500">
        <f t="shared" si="63"/>
        <v>0</v>
      </c>
      <c r="P15" s="502">
        <f>SUM(IF(     IF(ISBLANK(D15),B15,D15)     +   (6* (IF(ISBLANK(E15),C15,E15))) &gt;   0,   (     IF(ISBLANK(D15),B15,D15)    +  (6* (IF(ISBLANK(E15),C15,E15)) )  ),0))</f>
        <v>0</v>
      </c>
      <c r="Q15" s="502">
        <f>SUM(IF(     IF(ISBLANK(D15),B15,D15)     +   (7* (IF(ISBLANK(E15),C15,E15))) &gt;   0,   (     IF(ISBLANK(D15),B15,D15)    +  (7* (IF(ISBLANK(E15),C15,E15)) )  ),0))</f>
        <v>0</v>
      </c>
      <c r="R15" s="502">
        <f>SUM(IF(     IF(ISBLANK(D15),B15,D15)     +   (8* (IF(ISBLANK(E15),C15,E15))) &gt;   0,   (     IF(ISBLANK(D15),B15,D15)    +  (8* (IF(ISBLANK(E15),C15,E15)) )  ),0))</f>
        <v>0</v>
      </c>
      <c r="S15" s="502">
        <f>SUM(IF(     IF(ISBLANK(D15),B15,D15)     +   (9* (IF(ISBLANK(E15),C15,E15))) &gt;   0,   (     IF(ISBLANK(D15),B15,D15)   +  (9* (IF(ISBLANK(E15),C15,E15)) )  ),0))</f>
        <v>0</v>
      </c>
      <c r="T15" s="503">
        <f t="shared" si="68"/>
        <v>0</v>
      </c>
      <c r="U15" s="538"/>
      <c r="V15" s="549">
        <f>SUM(('Your Estimation'!B18))</f>
        <v>0</v>
      </c>
      <c r="W15" s="550">
        <f>SUM(('Your Estimation'!B18))</f>
        <v>0</v>
      </c>
      <c r="X15" s="551">
        <f>SUM(('Your Estimation'!B18))</f>
        <v>0</v>
      </c>
      <c r="Y15" s="538"/>
      <c r="Z15" s="574">
        <v>0.7</v>
      </c>
      <c r="AA15" s="612"/>
      <c r="AB15" s="592">
        <f t="shared" si="0"/>
        <v>0.8</v>
      </c>
      <c r="AC15" s="502">
        <f t="shared" si="1"/>
        <v>0.8</v>
      </c>
      <c r="AD15" s="502">
        <f t="shared" si="2"/>
        <v>0.8</v>
      </c>
      <c r="AE15" s="502">
        <f t="shared" si="36"/>
        <v>2.4000000000000004</v>
      </c>
      <c r="AF15" s="598"/>
      <c r="AG15" s="592">
        <f t="shared" si="3"/>
        <v>0.5</v>
      </c>
      <c r="AH15" s="502">
        <f t="shared" si="4"/>
        <v>0.5</v>
      </c>
      <c r="AI15" s="502">
        <f t="shared" si="5"/>
        <v>0.5</v>
      </c>
      <c r="AJ15" s="502">
        <f t="shared" si="37"/>
        <v>1.5</v>
      </c>
      <c r="AK15" s="598"/>
      <c r="AL15" s="592">
        <f t="shared" si="6"/>
        <v>0</v>
      </c>
      <c r="AM15" s="502">
        <f t="shared" si="7"/>
        <v>0</v>
      </c>
      <c r="AN15" s="502">
        <f t="shared" si="8"/>
        <v>0</v>
      </c>
      <c r="AO15" s="502">
        <f t="shared" si="38"/>
        <v>0</v>
      </c>
      <c r="AP15" s="598"/>
      <c r="AQ15" s="592">
        <f t="shared" si="9"/>
        <v>0</v>
      </c>
      <c r="AR15" s="502">
        <f t="shared" si="10"/>
        <v>0</v>
      </c>
      <c r="AS15" s="502">
        <f t="shared" si="11"/>
        <v>0</v>
      </c>
      <c r="AT15" s="502">
        <f t="shared" si="39"/>
        <v>0</v>
      </c>
      <c r="AU15" s="598"/>
      <c r="AV15" s="612"/>
      <c r="AW15" s="592">
        <f t="shared" si="12"/>
        <v>0</v>
      </c>
      <c r="AX15" s="502">
        <f t="shared" si="13"/>
        <v>0</v>
      </c>
      <c r="AY15" s="502">
        <f t="shared" si="14"/>
        <v>0</v>
      </c>
      <c r="AZ15" s="502">
        <f t="shared" si="40"/>
        <v>0</v>
      </c>
      <c r="BA15" s="598"/>
      <c r="BB15" s="592">
        <f t="shared" si="15"/>
        <v>0</v>
      </c>
      <c r="BC15" s="502">
        <f t="shared" si="16"/>
        <v>0</v>
      </c>
      <c r="BD15" s="502">
        <f t="shared" si="17"/>
        <v>0</v>
      </c>
      <c r="BE15" s="502">
        <f t="shared" si="41"/>
        <v>0</v>
      </c>
      <c r="BF15" s="598"/>
      <c r="BG15" s="592">
        <f t="shared" si="18"/>
        <v>0</v>
      </c>
      <c r="BH15" s="502">
        <f t="shared" si="19"/>
        <v>0</v>
      </c>
      <c r="BI15" s="502">
        <f t="shared" si="20"/>
        <v>0</v>
      </c>
      <c r="BJ15" s="502">
        <f t="shared" si="42"/>
        <v>0</v>
      </c>
      <c r="BK15" s="598"/>
      <c r="BL15" s="592">
        <f t="shared" si="21"/>
        <v>0</v>
      </c>
      <c r="BM15" s="502">
        <f t="shared" si="22"/>
        <v>0</v>
      </c>
      <c r="BN15" s="502">
        <f t="shared" si="23"/>
        <v>0</v>
      </c>
      <c r="BO15" s="502">
        <f t="shared" si="51"/>
        <v>0</v>
      </c>
      <c r="BP15" s="598"/>
      <c r="BQ15" s="538"/>
      <c r="BR15" s="592">
        <f t="shared" si="24"/>
        <v>0</v>
      </c>
      <c r="BS15" s="502">
        <f t="shared" si="25"/>
        <v>0</v>
      </c>
      <c r="BT15" s="502">
        <f t="shared" si="26"/>
        <v>0</v>
      </c>
      <c r="BU15" s="502">
        <f t="shared" si="52"/>
        <v>0</v>
      </c>
      <c r="BV15" s="598"/>
      <c r="BW15" s="592">
        <f t="shared" si="27"/>
        <v>0</v>
      </c>
      <c r="BX15" s="502">
        <f t="shared" si="28"/>
        <v>0</v>
      </c>
      <c r="BY15" s="502">
        <f t="shared" si="29"/>
        <v>0</v>
      </c>
      <c r="BZ15" s="502">
        <f t="shared" si="53"/>
        <v>0</v>
      </c>
      <c r="CA15" s="598"/>
      <c r="CB15" s="592">
        <f t="shared" si="30"/>
        <v>0</v>
      </c>
      <c r="CC15" s="502">
        <f t="shared" si="31"/>
        <v>0</v>
      </c>
      <c r="CD15" s="502">
        <f t="shared" si="32"/>
        <v>0</v>
      </c>
      <c r="CE15" s="502">
        <f t="shared" si="54"/>
        <v>0</v>
      </c>
      <c r="CF15" s="598"/>
      <c r="CG15" s="592">
        <f t="shared" si="33"/>
        <v>0</v>
      </c>
      <c r="CH15" s="502">
        <f t="shared" si="34"/>
        <v>0</v>
      </c>
      <c r="CI15" s="502">
        <f t="shared" si="35"/>
        <v>0</v>
      </c>
      <c r="CJ15" s="502">
        <f t="shared" si="55"/>
        <v>0</v>
      </c>
      <c r="CK15" s="168"/>
      <c r="CL15" s="153"/>
      <c r="CM15" s="153"/>
      <c r="CN15" s="153"/>
      <c r="CO15" s="153"/>
      <c r="CP15" s="153"/>
      <c r="CQ15" s="153"/>
      <c r="CR15" s="153"/>
      <c r="CS15" s="153"/>
      <c r="CT15" s="153"/>
      <c r="CU15" s="153"/>
      <c r="CV15" s="153"/>
      <c r="CW15" s="153"/>
      <c r="CX15" s="153"/>
      <c r="CY15" s="153"/>
      <c r="CZ15" s="153"/>
      <c r="DA15" s="153"/>
      <c r="DB15" s="153"/>
      <c r="DC15" s="153"/>
      <c r="DD15" s="153"/>
      <c r="DE15" s="153"/>
      <c r="DF15" s="153"/>
      <c r="DG15" s="153"/>
      <c r="DH15" s="153"/>
      <c r="DI15" s="153"/>
      <c r="DJ15" s="153"/>
      <c r="DK15" s="153"/>
      <c r="DL15" s="153"/>
      <c r="DM15" s="153"/>
      <c r="DN15" s="153"/>
      <c r="DO15" s="153"/>
      <c r="DP15" s="153"/>
      <c r="DQ15" s="153"/>
      <c r="DR15" s="153"/>
      <c r="DS15" s="153"/>
      <c r="DT15" s="153"/>
      <c r="DU15" s="153"/>
      <c r="DV15" s="153"/>
      <c r="DW15" s="153"/>
      <c r="DX15" s="153"/>
      <c r="DY15" s="153"/>
      <c r="DZ15" s="153"/>
      <c r="EA15" s="153"/>
      <c r="EB15" s="153"/>
      <c r="EC15" s="153"/>
      <c r="ED15" s="153"/>
      <c r="EE15" s="153"/>
      <c r="EF15" s="153"/>
      <c r="EG15" s="153"/>
      <c r="EH15" s="153"/>
      <c r="EI15" s="153"/>
      <c r="EJ15" s="153"/>
      <c r="EK15" s="153"/>
      <c r="EL15" s="153"/>
      <c r="EM15" s="153"/>
      <c r="EN15" s="153"/>
      <c r="EO15" s="153"/>
      <c r="EP15" s="153"/>
      <c r="EQ15" s="153"/>
      <c r="ER15" s="153"/>
      <c r="ES15" s="153"/>
      <c r="ET15" s="153"/>
      <c r="EU15" s="153"/>
      <c r="EV15" s="153"/>
      <c r="EW15" s="153"/>
      <c r="EX15" s="153"/>
      <c r="EY15" s="153"/>
      <c r="EZ15" s="153"/>
      <c r="FA15" s="153"/>
      <c r="FB15" s="153"/>
      <c r="FC15" s="153"/>
      <c r="FD15" s="153"/>
      <c r="FE15" s="153"/>
      <c r="FF15" s="153"/>
      <c r="FG15" s="153"/>
      <c r="FH15" s="153"/>
      <c r="FI15" s="153"/>
      <c r="FJ15" s="153"/>
      <c r="FK15" s="153"/>
      <c r="FL15" s="153"/>
      <c r="FM15" s="153"/>
      <c r="FN15" s="153"/>
      <c r="FO15" s="153"/>
      <c r="FP15" s="153"/>
      <c r="FQ15" s="153"/>
      <c r="FR15" s="153"/>
      <c r="FS15" s="153"/>
      <c r="FT15" s="153"/>
      <c r="FU15" s="153"/>
      <c r="FV15" s="153"/>
      <c r="FW15" s="153"/>
    </row>
    <row r="16" spans="1:179" s="175" customFormat="1" ht="9.75" customHeight="1" x14ac:dyDescent="0.15">
      <c r="A16" s="473" t="s">
        <v>142</v>
      </c>
      <c r="B16" s="169"/>
      <c r="C16" s="170"/>
      <c r="D16" s="171"/>
      <c r="E16" s="172"/>
      <c r="F16" s="504">
        <f>SUM((F18/Z18)-1)/3</f>
        <v>0.14352405834101298</v>
      </c>
      <c r="G16" s="504">
        <f>SUM((G18/F18)-1)/3</f>
        <v>0.46223431741234339</v>
      </c>
      <c r="H16" s="504">
        <f>SUM((H18/G18)-1)/3</f>
        <v>0.75931837108963707</v>
      </c>
      <c r="I16" s="504">
        <f>SUM((I18/H18)-1)/3</f>
        <v>0.19854961451399666</v>
      </c>
      <c r="J16" s="505" t="s">
        <v>38</v>
      </c>
      <c r="K16" s="502">
        <f>SUM((K18/I18)-1)/3</f>
        <v>8.2955769392557402E-2</v>
      </c>
      <c r="L16" s="502">
        <f>SUM((L18/K18)-1)/3</f>
        <v>4.9818571720938731E-2</v>
      </c>
      <c r="M16" s="502">
        <f>SUM((M18/L18)-1)/3</f>
        <v>0</v>
      </c>
      <c r="N16" s="502">
        <f>SUM((N18/M18)-1)/3</f>
        <v>0</v>
      </c>
      <c r="O16" s="506">
        <f>SUM(O18/J18)-1</f>
        <v>0.43551766486482735</v>
      </c>
      <c r="P16" s="502">
        <f>SUM((P18/N18)-1)/3</f>
        <v>0</v>
      </c>
      <c r="Q16" s="502">
        <f>SUM((Q18/P18)-1)/3</f>
        <v>0</v>
      </c>
      <c r="R16" s="502">
        <f>SUM((R18/Q18)-1)/3</f>
        <v>0</v>
      </c>
      <c r="S16" s="502">
        <f>SUM((S18/R18)-1)/3</f>
        <v>0</v>
      </c>
      <c r="T16" s="507">
        <f>SUM(T18/O18)-1</f>
        <v>0</v>
      </c>
      <c r="U16" s="538"/>
      <c r="V16" s="549">
        <f>SUM(V18/T18)-1</f>
        <v>0</v>
      </c>
      <c r="W16" s="550">
        <f>SUM(W18/V18)-1</f>
        <v>0</v>
      </c>
      <c r="X16" s="551">
        <f>SUM(X18/W18)-1</f>
        <v>0</v>
      </c>
      <c r="Y16" s="173"/>
      <c r="Z16" s="574">
        <v>0</v>
      </c>
      <c r="AA16" s="613"/>
      <c r="AB16" s="592">
        <f>SUM((AB18/Z18)-1)</f>
        <v>0.34333161816181623</v>
      </c>
      <c r="AC16" s="502">
        <f t="shared" ref="AC16:AD16" si="69">SUM((AC18/AB18)-1)</f>
        <v>5.3672253141894943E-2</v>
      </c>
      <c r="AD16" s="502">
        <f t="shared" si="69"/>
        <v>1.0697038211858079E-2</v>
      </c>
      <c r="AE16" s="502">
        <f t="shared" si="36"/>
        <v>0.40770090951556925</v>
      </c>
      <c r="AF16" s="599"/>
      <c r="AG16" s="592">
        <f>SUM((AG18/AD18)-1)</f>
        <v>0.69182965043348199</v>
      </c>
      <c r="AH16" s="502">
        <f>SUM((AH18/AG18)-1)</f>
        <v>0.25353273894498529</v>
      </c>
      <c r="AI16" s="502">
        <f>SUM((AI18/AH18)-1)</f>
        <v>0.12539778816325109</v>
      </c>
      <c r="AJ16" s="502">
        <f t="shared" si="37"/>
        <v>1.0707601775417184</v>
      </c>
      <c r="AK16" s="599"/>
      <c r="AL16" s="592">
        <f>SUM((AL18/AI18)-1)</f>
        <v>0.75931837108963718</v>
      </c>
      <c r="AM16" s="502">
        <f>SUM((AM18/AL18)-1)</f>
        <v>0.43159804590646766</v>
      </c>
      <c r="AN16" s="502">
        <f>SUM((AN18/AM18)-1)</f>
        <v>0.3014799071153984</v>
      </c>
      <c r="AO16" s="502">
        <f t="shared" si="38"/>
        <v>1.4923963241115032</v>
      </c>
      <c r="AP16" s="599"/>
      <c r="AQ16" s="592">
        <f>SUM((AQ18/AN18)-1)</f>
        <v>0.19854961451399666</v>
      </c>
      <c r="AR16" s="502">
        <f>SUM((AR18/AQ18)-1)</f>
        <v>0.16565823567888516</v>
      </c>
      <c r="AS16" s="502">
        <f>SUM((AS18/AR18)-1)</f>
        <v>0.14211561382947302</v>
      </c>
      <c r="AT16" s="502">
        <f t="shared" si="39"/>
        <v>0.50632346402235484</v>
      </c>
      <c r="AU16" s="599"/>
      <c r="AV16" s="613"/>
      <c r="AW16" s="592">
        <f>SUM((AW18/AS18)-1)</f>
        <v>8.2955769392557333E-2</v>
      </c>
      <c r="AX16" s="502">
        <f>SUM((AX18/AW18)-1)</f>
        <v>7.6601253474173125E-2</v>
      </c>
      <c r="AY16" s="502">
        <f>SUM((AY18/AX18)-1)</f>
        <v>7.1150997852716946E-2</v>
      </c>
      <c r="AZ16" s="502">
        <f t="shared" si="40"/>
        <v>0.2307080207194474</v>
      </c>
      <c r="BA16" s="599"/>
      <c r="BB16" s="592">
        <f>SUM((BB18/AY18)-1)</f>
        <v>4.9818571720938731E-2</v>
      </c>
      <c r="BC16" s="502">
        <f>SUM((BC18/BB18)-1)</f>
        <v>4.7454458382530262E-2</v>
      </c>
      <c r="BD16" s="502">
        <f>SUM((BD18/BC18)-1)</f>
        <v>4.5304555250840206E-2</v>
      </c>
      <c r="BE16" s="502">
        <f t="shared" si="41"/>
        <v>0.1425775853543092</v>
      </c>
      <c r="BF16" s="599"/>
      <c r="BG16" s="592">
        <f>SUM((BG18/BD18)-1)</f>
        <v>0</v>
      </c>
      <c r="BH16" s="502">
        <f>SUM((BH18/BG18)-1)</f>
        <v>0</v>
      </c>
      <c r="BI16" s="502">
        <f>SUM((BI18/BH18)-1)</f>
        <v>0</v>
      </c>
      <c r="BJ16" s="502">
        <f t="shared" si="42"/>
        <v>0</v>
      </c>
      <c r="BK16" s="599"/>
      <c r="BL16" s="592">
        <f>SUM((BL18/BI18)-1)</f>
        <v>0</v>
      </c>
      <c r="BM16" s="502">
        <f>SUM((BM18/BL18)-1)</f>
        <v>0</v>
      </c>
      <c r="BN16" s="502">
        <f>SUM((BN18/BM18)-1)</f>
        <v>0</v>
      </c>
      <c r="BO16" s="502">
        <f>SUM(BL16:BN16)</f>
        <v>0</v>
      </c>
      <c r="BP16" s="599"/>
      <c r="BQ16" s="173"/>
      <c r="BR16" s="592">
        <f>SUM((BR18/BN18)-1)</f>
        <v>0</v>
      </c>
      <c r="BS16" s="502">
        <f>SUM((BS18/BR18)-1)</f>
        <v>0</v>
      </c>
      <c r="BT16" s="502">
        <f>SUM((BT18/BS18)-1)</f>
        <v>0</v>
      </c>
      <c r="BU16" s="502">
        <f>SUM(BR16:BT16)</f>
        <v>0</v>
      </c>
      <c r="BV16" s="599"/>
      <c r="BW16" s="592">
        <f>SUM((BW18/BT18)-1)</f>
        <v>0</v>
      </c>
      <c r="BX16" s="502">
        <f>SUM((BX18/BW18)-1)</f>
        <v>0</v>
      </c>
      <c r="BY16" s="502">
        <f>SUM((BY18/BX18)-1)</f>
        <v>0</v>
      </c>
      <c r="BZ16" s="502">
        <f>SUM(BW16:BY16)</f>
        <v>0</v>
      </c>
      <c r="CA16" s="599"/>
      <c r="CB16" s="592">
        <f>SUM((CB18/BY18)-1)</f>
        <v>0</v>
      </c>
      <c r="CC16" s="502">
        <f>SUM((CC18/CB18)-1)</f>
        <v>0</v>
      </c>
      <c r="CD16" s="502">
        <f>SUM((CD18/CC18)-1)</f>
        <v>0</v>
      </c>
      <c r="CE16" s="502">
        <f t="shared" si="54"/>
        <v>0</v>
      </c>
      <c r="CF16" s="599"/>
      <c r="CG16" s="592">
        <f>SUM((CG18/CD18)-1)</f>
        <v>0</v>
      </c>
      <c r="CH16" s="502">
        <f>SUM((CH18/CG18)-1)</f>
        <v>0</v>
      </c>
      <c r="CI16" s="502">
        <f>SUM((CI18/CH18)-1)</f>
        <v>0</v>
      </c>
      <c r="CJ16" s="502">
        <f t="shared" si="55"/>
        <v>0</v>
      </c>
      <c r="CK16" s="152"/>
      <c r="CL16" s="174"/>
      <c r="CM16" s="174"/>
      <c r="CN16" s="174"/>
      <c r="CO16" s="174"/>
      <c r="CP16" s="174"/>
      <c r="CQ16" s="174"/>
      <c r="CR16" s="174"/>
      <c r="CS16" s="174"/>
      <c r="CT16" s="174"/>
      <c r="CU16" s="174"/>
      <c r="CV16" s="174"/>
      <c r="CW16" s="174"/>
      <c r="CX16" s="174"/>
      <c r="CY16" s="174"/>
      <c r="CZ16" s="174"/>
      <c r="DA16" s="174"/>
      <c r="DB16" s="174"/>
      <c r="DC16" s="174"/>
      <c r="DD16" s="174"/>
      <c r="DE16" s="174"/>
      <c r="DF16" s="174"/>
      <c r="DG16" s="174"/>
      <c r="DH16" s="174"/>
      <c r="DI16" s="174"/>
      <c r="DJ16" s="174"/>
      <c r="DK16" s="174"/>
      <c r="DL16" s="174"/>
      <c r="DM16" s="174"/>
      <c r="DN16" s="174"/>
      <c r="DO16" s="174"/>
      <c r="DP16" s="174"/>
      <c r="DQ16" s="174"/>
      <c r="DR16" s="174"/>
      <c r="DS16" s="174"/>
      <c r="DT16" s="174"/>
      <c r="DU16" s="174"/>
      <c r="DV16" s="174"/>
      <c r="DW16" s="174"/>
      <c r="DX16" s="174"/>
      <c r="DY16" s="174"/>
      <c r="DZ16" s="174"/>
      <c r="EA16" s="174"/>
      <c r="EB16" s="174"/>
      <c r="EC16" s="174"/>
      <c r="ED16" s="174"/>
      <c r="EE16" s="174"/>
      <c r="EF16" s="174"/>
      <c r="EG16" s="174"/>
      <c r="EH16" s="174"/>
      <c r="EI16" s="174"/>
      <c r="EJ16" s="174"/>
      <c r="EK16" s="174"/>
      <c r="EL16" s="174"/>
      <c r="EM16" s="174"/>
      <c r="EN16" s="174"/>
      <c r="EO16" s="174"/>
      <c r="EP16" s="174"/>
      <c r="EQ16" s="174"/>
      <c r="ER16" s="174"/>
      <c r="ES16" s="174"/>
      <c r="ET16" s="174"/>
      <c r="EU16" s="174"/>
      <c r="EV16" s="174"/>
      <c r="EW16" s="174"/>
      <c r="EX16" s="174"/>
      <c r="EY16" s="174"/>
      <c r="EZ16" s="174"/>
      <c r="FA16" s="174"/>
      <c r="FB16" s="174"/>
      <c r="FC16" s="174"/>
      <c r="FD16" s="174"/>
      <c r="FE16" s="174"/>
      <c r="FF16" s="174"/>
      <c r="FG16" s="174"/>
      <c r="FH16" s="174"/>
      <c r="FI16" s="174"/>
      <c r="FJ16" s="174"/>
      <c r="FK16" s="174"/>
      <c r="FL16" s="174"/>
      <c r="FM16" s="174"/>
      <c r="FN16" s="174"/>
      <c r="FO16" s="174"/>
      <c r="FP16" s="174"/>
      <c r="FQ16" s="174"/>
      <c r="FR16" s="174"/>
      <c r="FS16" s="174"/>
      <c r="FT16" s="174"/>
      <c r="FU16" s="174"/>
      <c r="FV16" s="174"/>
      <c r="FW16" s="174"/>
    </row>
    <row r="17" spans="1:179" s="175" customFormat="1" ht="9.75" customHeight="1" x14ac:dyDescent="0.15">
      <c r="A17" s="405" t="s">
        <v>143</v>
      </c>
      <c r="B17" s="176"/>
      <c r="C17" s="177"/>
      <c r="D17" s="178"/>
      <c r="E17" s="179"/>
      <c r="F17" s="423">
        <f>AE17</f>
        <v>645.85826253455821</v>
      </c>
      <c r="G17" s="424">
        <f>AJ17</f>
        <v>2975.6679877388965</v>
      </c>
      <c r="H17" s="424">
        <f>AO17</f>
        <v>11666.606909551367</v>
      </c>
      <c r="I17" s="424">
        <f>AT17</f>
        <v>9999.83210187859</v>
      </c>
      <c r="J17" s="180">
        <f>SUM(J18-Z18)</f>
        <v>25287.965261703415</v>
      </c>
      <c r="K17" s="424">
        <f>AZ17</f>
        <v>6666.6488062371172</v>
      </c>
      <c r="L17" s="424">
        <f>BE17</f>
        <v>4999.9832710200681</v>
      </c>
      <c r="M17" s="424">
        <f>BJ17</f>
        <v>0</v>
      </c>
      <c r="N17" s="424">
        <f>BO17</f>
        <v>0</v>
      </c>
      <c r="O17" s="180">
        <f>SUM(O18-J18)</f>
        <v>11666.632077257185</v>
      </c>
      <c r="P17" s="424">
        <f>BU17</f>
        <v>0</v>
      </c>
      <c r="Q17" s="424">
        <f>BZ17</f>
        <v>0</v>
      </c>
      <c r="R17" s="424">
        <f>CE17</f>
        <v>0</v>
      </c>
      <c r="S17" s="424">
        <f>CJ17</f>
        <v>0</v>
      </c>
      <c r="T17" s="181">
        <f>SUM(T18-O18)</f>
        <v>0</v>
      </c>
      <c r="U17" s="184"/>
      <c r="V17" s="533">
        <f>SUM((V8+(T18*V14))-(T18*V15))</f>
        <v>0</v>
      </c>
      <c r="W17" s="424">
        <f>SUM((W8+(V18*W14))-(V18*W15))</f>
        <v>0</v>
      </c>
      <c r="X17" s="534">
        <f>SUM((X8+(W18*X14))-(W18*X15))</f>
        <v>0</v>
      </c>
      <c r="Y17" s="184"/>
      <c r="Z17" s="575">
        <v>1500</v>
      </c>
      <c r="AA17" s="614"/>
      <c r="AB17" s="533">
        <f>SUM((AB8+(Z18*AB14))-(Z18*AB15))</f>
        <v>514.99742724272437</v>
      </c>
      <c r="AC17" s="424">
        <f>SUM((AC8+(AB18*AC14))-(AB18*AC15))</f>
        <v>108.14945199523822</v>
      </c>
      <c r="AD17" s="424">
        <f>SUM((AD8+(AC18*AD14))-(AC18*AD15))</f>
        <v>22.711383296595614</v>
      </c>
      <c r="AE17" s="180">
        <f t="shared" si="36"/>
        <v>645.85826253455821</v>
      </c>
      <c r="AF17" s="183"/>
      <c r="AG17" s="533">
        <f>SUM((AG8+(AD18*AG14))-(AD18*AG15))</f>
        <v>1484.5683716490828</v>
      </c>
      <c r="AH17" s="424">
        <f>SUM((AH8+(AG18*AH14))-(AG18*AH15))</f>
        <v>920.43200810340295</v>
      </c>
      <c r="AI17" s="424">
        <f>SUM((AI8+(AH18*AI14))-(AH18*AI15))</f>
        <v>570.66760798641053</v>
      </c>
      <c r="AJ17" s="180">
        <f t="shared" si="37"/>
        <v>2975.6679877388965</v>
      </c>
      <c r="AK17" s="183"/>
      <c r="AL17" s="533">
        <f>SUM((AL8+(AI18*AL14))-(AI18*AL15))</f>
        <v>3888.8689698504559</v>
      </c>
      <c r="AM17" s="424">
        <f>SUM((AM8+(AL18*AM14))-(AL18*AM15))</f>
        <v>3888.8689698504559</v>
      </c>
      <c r="AN17" s="424">
        <f>SUM((AN8+(AM18*AN14))-(AM18*AN15))</f>
        <v>3888.8689698504559</v>
      </c>
      <c r="AO17" s="180">
        <f t="shared" si="38"/>
        <v>11666.606909551367</v>
      </c>
      <c r="AP17" s="183"/>
      <c r="AQ17" s="533">
        <f>SUM((AQ8+(AN18*AQ14))-(AN18*AQ15))</f>
        <v>3333.2773672928633</v>
      </c>
      <c r="AR17" s="424">
        <f>SUM((AR8+(AQ18*AR14))-(AQ18*AR15))</f>
        <v>3333.2773672928633</v>
      </c>
      <c r="AS17" s="424">
        <f>SUM((AS8+(AR18*AS14))-(AR18*AS15))</f>
        <v>3333.2773672928633</v>
      </c>
      <c r="AT17" s="180">
        <f t="shared" si="39"/>
        <v>9999.83210187859</v>
      </c>
      <c r="AU17" s="183"/>
      <c r="AV17" s="614"/>
      <c r="AW17" s="533">
        <f>SUM((AW8+(AS18*AW14))-(AS18*AW15))</f>
        <v>2222.2162687457057</v>
      </c>
      <c r="AX17" s="424">
        <f>SUM((AX8+(AW18*AX14))-(AW18*AX15))</f>
        <v>2222.2162687457057</v>
      </c>
      <c r="AY17" s="424">
        <f>SUM((AY8+(AX18*AY14))-(AX18*AY15))</f>
        <v>2222.2162687457057</v>
      </c>
      <c r="AZ17" s="180">
        <f t="shared" si="40"/>
        <v>6666.6488062371172</v>
      </c>
      <c r="BA17" s="183"/>
      <c r="BB17" s="533">
        <f>SUM((BB8+(AY18*BB14))-(AY18*BB15))</f>
        <v>1666.6610903400228</v>
      </c>
      <c r="BC17" s="424">
        <f>SUM((BC8+(BB18*BC14))-(BB18*BC15))</f>
        <v>1666.6610903400228</v>
      </c>
      <c r="BD17" s="424">
        <f>SUM((BD8+(BC18*BD14))-(BC18*BD15))</f>
        <v>1666.6610903400228</v>
      </c>
      <c r="BE17" s="180">
        <f t="shared" si="41"/>
        <v>4999.9832710200681</v>
      </c>
      <c r="BF17" s="183"/>
      <c r="BG17" s="533">
        <f>SUM((BG8+(BD18*BG14))-(BD18*BG15))</f>
        <v>0</v>
      </c>
      <c r="BH17" s="424">
        <f>SUM((BH8+(BG18*BH14))-(BG18*BH15))</f>
        <v>0</v>
      </c>
      <c r="BI17" s="424">
        <f>SUM((BI8+(BH18*BI14))-(BH18*BI15))</f>
        <v>0</v>
      </c>
      <c r="BJ17" s="180">
        <f t="shared" si="42"/>
        <v>0</v>
      </c>
      <c r="BK17" s="183"/>
      <c r="BL17" s="533">
        <f>SUM((BL8+(BI18*BL14))-(BI18*BL15))</f>
        <v>0</v>
      </c>
      <c r="BM17" s="424">
        <f>SUM((BM8+(BL18*BM14))-(BL18*BM15))</f>
        <v>0</v>
      </c>
      <c r="BN17" s="424">
        <f>SUM((BN8+(BM18*BN14))-(BM18*BN15))</f>
        <v>0</v>
      </c>
      <c r="BO17" s="180">
        <f>SUM(BL17:BN17)</f>
        <v>0</v>
      </c>
      <c r="BP17" s="183"/>
      <c r="BQ17" s="184"/>
      <c r="BR17" s="533">
        <f>SUM((BR8+(BN18*BR14))-(BN18*BR15))</f>
        <v>0</v>
      </c>
      <c r="BS17" s="424">
        <f>SUM((BS8+(BR18*BS14))-(BR18*BS15))</f>
        <v>0</v>
      </c>
      <c r="BT17" s="424">
        <f>SUM((BT8+(BS18*BT14))-(BS18*BT15))</f>
        <v>0</v>
      </c>
      <c r="BU17" s="180">
        <f>SUM(BR17:BT17)</f>
        <v>0</v>
      </c>
      <c r="BV17" s="183"/>
      <c r="BW17" s="533">
        <f>SUM((BW8+(BT18*BW14))-(BT18*BW15))</f>
        <v>0</v>
      </c>
      <c r="BX17" s="424">
        <f>SUM((BX8+(BW18*BX14))-(BW18*BX15))</f>
        <v>0</v>
      </c>
      <c r="BY17" s="424">
        <f>SUM((BY8+(BX18*BY14))-(BX18*BY15))</f>
        <v>0</v>
      </c>
      <c r="BZ17" s="180">
        <f>SUM(BW17:BY17)</f>
        <v>0</v>
      </c>
      <c r="CA17" s="183"/>
      <c r="CB17" s="533">
        <f>SUM((CB8+(BY18*CB14))-(BY18*CB15))</f>
        <v>0</v>
      </c>
      <c r="CC17" s="424">
        <f>SUM((CC8+(CB18*CC14))-(CB18*CC15))</f>
        <v>0</v>
      </c>
      <c r="CD17" s="424">
        <f>SUM((CD8+(CC18*CD14))-(CC18*CD15))</f>
        <v>0</v>
      </c>
      <c r="CE17" s="180">
        <f>SUM(CB17:CD17)</f>
        <v>0</v>
      </c>
      <c r="CF17" s="183"/>
      <c r="CG17" s="533">
        <f>SUM((CG8+(CD18*CG14))-(CD18*CG15))</f>
        <v>0</v>
      </c>
      <c r="CH17" s="424">
        <f>SUM((CH8+(CG18*CH14))-(CG18*CH15))</f>
        <v>0</v>
      </c>
      <c r="CI17" s="424">
        <f>SUM((CI8+(CH18*CI14))-(CH18*CI15))</f>
        <v>0</v>
      </c>
      <c r="CJ17" s="180">
        <f>SUM(CG17:CI17)</f>
        <v>0</v>
      </c>
      <c r="CK17" s="183"/>
      <c r="CL17" s="174"/>
      <c r="CM17" s="174"/>
      <c r="CN17" s="174"/>
      <c r="CO17" s="174"/>
      <c r="CP17" s="174"/>
      <c r="CQ17" s="174"/>
      <c r="CR17" s="174"/>
      <c r="CS17" s="174"/>
      <c r="CT17" s="174"/>
      <c r="CU17" s="174"/>
      <c r="CV17" s="174"/>
      <c r="CW17" s="174"/>
      <c r="CX17" s="174"/>
      <c r="CY17" s="174"/>
      <c r="CZ17" s="174"/>
      <c r="DA17" s="174"/>
      <c r="DB17" s="174"/>
      <c r="DC17" s="174"/>
      <c r="DD17" s="174"/>
      <c r="DE17" s="174"/>
      <c r="DF17" s="174"/>
      <c r="DG17" s="174"/>
      <c r="DH17" s="174"/>
      <c r="DI17" s="174"/>
      <c r="DJ17" s="174"/>
      <c r="DK17" s="174"/>
      <c r="DL17" s="174"/>
      <c r="DM17" s="174"/>
      <c r="DN17" s="174"/>
      <c r="DO17" s="174"/>
      <c r="DP17" s="174"/>
      <c r="DQ17" s="174"/>
      <c r="DR17" s="174"/>
      <c r="DS17" s="174"/>
      <c r="DT17" s="174"/>
      <c r="DU17" s="174"/>
      <c r="DV17" s="174"/>
      <c r="DW17" s="174"/>
      <c r="DX17" s="174"/>
      <c r="DY17" s="174"/>
      <c r="DZ17" s="174"/>
      <c r="EA17" s="174"/>
      <c r="EB17" s="174"/>
      <c r="EC17" s="174"/>
      <c r="ED17" s="174"/>
      <c r="EE17" s="174"/>
      <c r="EF17" s="174"/>
      <c r="EG17" s="174"/>
      <c r="EH17" s="174"/>
      <c r="EI17" s="174"/>
      <c r="EJ17" s="174"/>
      <c r="EK17" s="174"/>
      <c r="EL17" s="174"/>
      <c r="EM17" s="174"/>
      <c r="EN17" s="174"/>
      <c r="EO17" s="174"/>
      <c r="EP17" s="174"/>
      <c r="EQ17" s="174"/>
      <c r="ER17" s="174"/>
      <c r="ES17" s="174"/>
      <c r="ET17" s="174"/>
      <c r="EU17" s="174"/>
      <c r="EV17" s="174"/>
      <c r="EW17" s="174"/>
      <c r="EX17" s="174"/>
      <c r="EY17" s="174"/>
      <c r="EZ17" s="174"/>
      <c r="FA17" s="174"/>
      <c r="FB17" s="174"/>
      <c r="FC17" s="174"/>
      <c r="FD17" s="174"/>
      <c r="FE17" s="174"/>
      <c r="FF17" s="174"/>
      <c r="FG17" s="174"/>
      <c r="FH17" s="174"/>
      <c r="FI17" s="174"/>
      <c r="FJ17" s="174"/>
      <c r="FK17" s="174"/>
      <c r="FL17" s="174"/>
      <c r="FM17" s="174"/>
      <c r="FN17" s="174"/>
      <c r="FO17" s="174"/>
      <c r="FP17" s="174"/>
      <c r="FQ17" s="174"/>
      <c r="FR17" s="174"/>
      <c r="FS17" s="174"/>
      <c r="FT17" s="174"/>
      <c r="FU17" s="174"/>
      <c r="FV17" s="174"/>
      <c r="FW17" s="174"/>
    </row>
    <row r="18" spans="1:179" s="57" customFormat="1" ht="9.75" customHeight="1" x14ac:dyDescent="0.15">
      <c r="A18" s="422" t="s">
        <v>217</v>
      </c>
      <c r="B18" s="185"/>
      <c r="C18" s="186"/>
      <c r="D18" s="187"/>
      <c r="E18" s="188"/>
      <c r="F18" s="423">
        <f>AE18</f>
        <v>2145.8582625345584</v>
      </c>
      <c r="G18" s="424">
        <f>AJ18</f>
        <v>5121.5262502734549</v>
      </c>
      <c r="H18" s="424">
        <f>AO18</f>
        <v>16788.133159824825</v>
      </c>
      <c r="I18" s="424">
        <f>AT18</f>
        <v>26787.965261703415</v>
      </c>
      <c r="J18" s="180">
        <f>AS18</f>
        <v>26787.965261703415</v>
      </c>
      <c r="K18" s="424">
        <f>AZ18</f>
        <v>33454.614067940536</v>
      </c>
      <c r="L18" s="424">
        <f>BE18</f>
        <v>38454.597338960601</v>
      </c>
      <c r="M18" s="424">
        <f>BJ18</f>
        <v>38454.597338960601</v>
      </c>
      <c r="N18" s="424">
        <f>BO18</f>
        <v>38454.597338960601</v>
      </c>
      <c r="O18" s="180">
        <f>BN18</f>
        <v>38454.597338960601</v>
      </c>
      <c r="P18" s="424">
        <f>BU18</f>
        <v>38454.597338960601</v>
      </c>
      <c r="Q18" s="424">
        <f>BZ18</f>
        <v>38454.597338960601</v>
      </c>
      <c r="R18" s="424">
        <f>CE18</f>
        <v>38454.597338960601</v>
      </c>
      <c r="S18" s="424">
        <f>CJ18</f>
        <v>38454.597338960601</v>
      </c>
      <c r="T18" s="181">
        <f>CI18</f>
        <v>38454.597338960601</v>
      </c>
      <c r="U18" s="184"/>
      <c r="V18" s="533">
        <f>SUM(T18+V17)</f>
        <v>38454.597338960601</v>
      </c>
      <c r="W18" s="424">
        <f>SUM(V18+W17)</f>
        <v>38454.597338960601</v>
      </c>
      <c r="X18" s="534">
        <f>SUM(W18+X17)</f>
        <v>38454.597338960601</v>
      </c>
      <c r="Y18" s="184"/>
      <c r="Z18" s="576">
        <v>1500</v>
      </c>
      <c r="AA18" s="614"/>
      <c r="AB18" s="533">
        <f>SUM(Z18+AB17)</f>
        <v>2014.9974272427244</v>
      </c>
      <c r="AC18" s="424">
        <f>SUM(AB18+AC17)</f>
        <v>2123.1468792379628</v>
      </c>
      <c r="AD18" s="424">
        <f>SUM(AC18+AD17)</f>
        <v>2145.8582625345584</v>
      </c>
      <c r="AE18" s="180">
        <f>AD18</f>
        <v>2145.8582625345584</v>
      </c>
      <c r="AF18" s="183"/>
      <c r="AG18" s="533">
        <f>SUM(AD18+AG17)</f>
        <v>3630.426634183641</v>
      </c>
      <c r="AH18" s="424">
        <f>SUM(AG18+AH17)</f>
        <v>4550.8586422870439</v>
      </c>
      <c r="AI18" s="424">
        <f>SUM(AH18+AI17)</f>
        <v>5121.5262502734549</v>
      </c>
      <c r="AJ18" s="180">
        <f>AI18</f>
        <v>5121.5262502734549</v>
      </c>
      <c r="AK18" s="183"/>
      <c r="AL18" s="533">
        <f>SUM(AI18+AL17)</f>
        <v>9010.3952201239117</v>
      </c>
      <c r="AM18" s="424">
        <f>SUM(AL18+AM17)</f>
        <v>12899.264189974368</v>
      </c>
      <c r="AN18" s="424">
        <f>SUM(AM18+AN17)</f>
        <v>16788.133159824825</v>
      </c>
      <c r="AO18" s="180">
        <f>AN18</f>
        <v>16788.133159824825</v>
      </c>
      <c r="AP18" s="183"/>
      <c r="AQ18" s="533">
        <f>SUM(AN18+AQ17)</f>
        <v>20121.410527117689</v>
      </c>
      <c r="AR18" s="424">
        <f>SUM(AQ18+AR17)</f>
        <v>23454.687894410552</v>
      </c>
      <c r="AS18" s="424">
        <f>SUM(AR18+AS17)</f>
        <v>26787.965261703415</v>
      </c>
      <c r="AT18" s="180">
        <f>AS18</f>
        <v>26787.965261703415</v>
      </c>
      <c r="AU18" s="183"/>
      <c r="AV18" s="614"/>
      <c r="AW18" s="533">
        <f>SUM(AS18+AW17)</f>
        <v>29010.181530449121</v>
      </c>
      <c r="AX18" s="424">
        <f>SUM(AW18+AX17)</f>
        <v>31232.397799194827</v>
      </c>
      <c r="AY18" s="424">
        <f>SUM(AX18+AY17)</f>
        <v>33454.614067940536</v>
      </c>
      <c r="AZ18" s="180">
        <f>AY18</f>
        <v>33454.614067940536</v>
      </c>
      <c r="BA18" s="183"/>
      <c r="BB18" s="533">
        <f>SUM(AY18+BB17)</f>
        <v>35121.275158280558</v>
      </c>
      <c r="BC18" s="424">
        <f>SUM(BB18+BC17)</f>
        <v>36787.936248620579</v>
      </c>
      <c r="BD18" s="424">
        <f>SUM(BC18+BD17)</f>
        <v>38454.597338960601</v>
      </c>
      <c r="BE18" s="180">
        <f>BD18</f>
        <v>38454.597338960601</v>
      </c>
      <c r="BF18" s="183"/>
      <c r="BG18" s="533">
        <f>SUM(BD18+BG17)</f>
        <v>38454.597338960601</v>
      </c>
      <c r="BH18" s="424">
        <f>SUM(BG18+BH17)</f>
        <v>38454.597338960601</v>
      </c>
      <c r="BI18" s="424">
        <f>SUM(BH18+BI17)</f>
        <v>38454.597338960601</v>
      </c>
      <c r="BJ18" s="180">
        <f>BI18</f>
        <v>38454.597338960601</v>
      </c>
      <c r="BK18" s="183"/>
      <c r="BL18" s="533">
        <f>SUM(BI18+BL17)</f>
        <v>38454.597338960601</v>
      </c>
      <c r="BM18" s="424">
        <f>SUM(BL18+BM17)</f>
        <v>38454.597338960601</v>
      </c>
      <c r="BN18" s="424">
        <f>SUM(BM18+BN17)</f>
        <v>38454.597338960601</v>
      </c>
      <c r="BO18" s="180">
        <f>BN18</f>
        <v>38454.597338960601</v>
      </c>
      <c r="BP18" s="183"/>
      <c r="BQ18" s="184"/>
      <c r="BR18" s="533">
        <f>SUM(BO18+BR17)</f>
        <v>38454.597338960601</v>
      </c>
      <c r="BS18" s="424">
        <f>SUM(BR18+BS17)</f>
        <v>38454.597338960601</v>
      </c>
      <c r="BT18" s="424">
        <f>SUM(BS18+BT17)</f>
        <v>38454.597338960601</v>
      </c>
      <c r="BU18" s="180">
        <f>BT18</f>
        <v>38454.597338960601</v>
      </c>
      <c r="BV18" s="183"/>
      <c r="BW18" s="533">
        <f>SUM(BT18+BW17)</f>
        <v>38454.597338960601</v>
      </c>
      <c r="BX18" s="424">
        <f>SUM(BW18+BX17)</f>
        <v>38454.597338960601</v>
      </c>
      <c r="BY18" s="424">
        <f>SUM(BX18+BY17)</f>
        <v>38454.597338960601</v>
      </c>
      <c r="BZ18" s="180">
        <f>BY18</f>
        <v>38454.597338960601</v>
      </c>
      <c r="CA18" s="183"/>
      <c r="CB18" s="533">
        <f>SUM(BY18+CB17)</f>
        <v>38454.597338960601</v>
      </c>
      <c r="CC18" s="424">
        <f>SUM(CB18+CC17)</f>
        <v>38454.597338960601</v>
      </c>
      <c r="CD18" s="424">
        <f>SUM(CC18+CD17)</f>
        <v>38454.597338960601</v>
      </c>
      <c r="CE18" s="180">
        <f>CD18</f>
        <v>38454.597338960601</v>
      </c>
      <c r="CF18" s="183"/>
      <c r="CG18" s="533">
        <f>SUM(CD18+CG17)</f>
        <v>38454.597338960601</v>
      </c>
      <c r="CH18" s="424">
        <f>SUM(CG18+CH17)</f>
        <v>38454.597338960601</v>
      </c>
      <c r="CI18" s="424">
        <f>SUM(CH18+CI17)</f>
        <v>38454.597338960601</v>
      </c>
      <c r="CJ18" s="180">
        <f>CI18</f>
        <v>38454.597338960601</v>
      </c>
      <c r="CK18" s="183"/>
      <c r="CL18" s="55"/>
      <c r="CM18" s="55"/>
      <c r="CN18" s="55"/>
      <c r="CO18" s="55"/>
      <c r="CP18" s="55"/>
      <c r="CQ18" s="55"/>
      <c r="CR18" s="55"/>
      <c r="CS18" s="55"/>
      <c r="CT18" s="55"/>
      <c r="CU18" s="55"/>
      <c r="CV18" s="55"/>
      <c r="CW18" s="55"/>
      <c r="CX18" s="55"/>
      <c r="CY18" s="55"/>
      <c r="CZ18" s="55"/>
      <c r="DA18" s="55"/>
      <c r="DB18" s="55"/>
      <c r="DC18" s="55"/>
      <c r="DD18" s="55"/>
      <c r="DE18" s="55"/>
      <c r="DF18" s="55"/>
      <c r="DG18" s="55"/>
      <c r="DH18" s="55"/>
      <c r="DI18" s="55"/>
      <c r="DJ18" s="55"/>
      <c r="DK18" s="55"/>
      <c r="DL18" s="55"/>
      <c r="DM18" s="55"/>
      <c r="DN18" s="55"/>
      <c r="DO18" s="55"/>
      <c r="DP18" s="55"/>
      <c r="DQ18" s="55"/>
      <c r="DR18" s="55"/>
      <c r="DS18" s="55"/>
      <c r="DT18" s="55"/>
      <c r="DU18" s="55"/>
      <c r="DV18" s="55"/>
      <c r="DW18" s="55"/>
      <c r="DX18" s="55"/>
      <c r="DY18" s="55"/>
      <c r="DZ18" s="55"/>
      <c r="EA18" s="55"/>
      <c r="EB18" s="55"/>
      <c r="EC18" s="55"/>
      <c r="ED18" s="55"/>
      <c r="EE18" s="55"/>
      <c r="EF18" s="55"/>
      <c r="EG18" s="55"/>
      <c r="EH18" s="55"/>
      <c r="EI18" s="55"/>
      <c r="EJ18" s="55"/>
      <c r="EK18" s="55"/>
      <c r="EL18" s="55"/>
      <c r="EM18" s="55"/>
      <c r="EN18" s="55"/>
      <c r="EO18" s="55"/>
      <c r="EP18" s="55"/>
      <c r="EQ18" s="55"/>
      <c r="ER18" s="55"/>
      <c r="ES18" s="55"/>
      <c r="ET18" s="55"/>
      <c r="EU18" s="55"/>
      <c r="EV18" s="55"/>
      <c r="EW18" s="55"/>
      <c r="EX18" s="55"/>
      <c r="EY18" s="55"/>
      <c r="EZ18" s="55"/>
      <c r="FA18" s="55"/>
      <c r="FB18" s="55"/>
      <c r="FC18" s="55"/>
      <c r="FD18" s="55"/>
      <c r="FE18" s="55"/>
      <c r="FF18" s="55"/>
      <c r="FG18" s="55"/>
      <c r="FH18" s="55"/>
      <c r="FI18" s="55"/>
      <c r="FJ18" s="55"/>
      <c r="FK18" s="55"/>
      <c r="FL18" s="55"/>
      <c r="FM18" s="55"/>
      <c r="FN18" s="55"/>
      <c r="FO18" s="55"/>
      <c r="FP18" s="55"/>
      <c r="FQ18" s="55"/>
      <c r="FR18" s="55"/>
      <c r="FS18" s="55"/>
      <c r="FT18" s="55"/>
      <c r="FU18" s="55"/>
      <c r="FV18" s="55"/>
      <c r="FW18" s="55"/>
    </row>
    <row r="19" spans="1:179" s="55" customFormat="1" ht="4.5" customHeight="1" x14ac:dyDescent="0.15">
      <c r="A19" s="189"/>
      <c r="B19" s="190"/>
      <c r="C19" s="191"/>
      <c r="D19" s="192"/>
      <c r="E19" s="193"/>
      <c r="F19" s="194"/>
      <c r="G19" s="195"/>
      <c r="H19" s="195"/>
      <c r="I19" s="195"/>
      <c r="J19" s="196"/>
      <c r="K19" s="195"/>
      <c r="L19" s="195"/>
      <c r="M19" s="195"/>
      <c r="N19" s="195"/>
      <c r="O19" s="196"/>
      <c r="P19" s="195"/>
      <c r="Q19" s="195"/>
      <c r="R19" s="195"/>
      <c r="S19" s="195"/>
      <c r="T19" s="197"/>
      <c r="U19" s="199"/>
      <c r="V19" s="190"/>
      <c r="W19" s="195"/>
      <c r="X19" s="198"/>
      <c r="Y19" s="199"/>
      <c r="Z19" s="564"/>
      <c r="AA19" s="615"/>
      <c r="AB19" s="593"/>
      <c r="AC19" s="200"/>
      <c r="AD19" s="200"/>
      <c r="AE19" s="200"/>
      <c r="AF19" s="201"/>
      <c r="AG19" s="593"/>
      <c r="AH19" s="200"/>
      <c r="AI19" s="200"/>
      <c r="AJ19" s="200"/>
      <c r="AK19" s="201"/>
      <c r="AL19" s="593"/>
      <c r="AM19" s="200"/>
      <c r="AN19" s="200"/>
      <c r="AO19" s="200"/>
      <c r="AP19" s="201"/>
      <c r="AQ19" s="593"/>
      <c r="AR19" s="200"/>
      <c r="AS19" s="200"/>
      <c r="AT19" s="200"/>
      <c r="AU19" s="201"/>
      <c r="AV19" s="615"/>
      <c r="AW19" s="593"/>
      <c r="AX19" s="200"/>
      <c r="AY19" s="200"/>
      <c r="AZ19" s="200"/>
      <c r="BA19" s="201"/>
      <c r="BB19" s="593"/>
      <c r="BC19" s="200"/>
      <c r="BD19" s="200"/>
      <c r="BE19" s="200"/>
      <c r="BF19" s="201"/>
      <c r="BG19" s="593"/>
      <c r="BH19" s="200"/>
      <c r="BI19" s="200"/>
      <c r="BJ19" s="200"/>
      <c r="BK19" s="201"/>
      <c r="BL19" s="593"/>
      <c r="BM19" s="200"/>
      <c r="BN19" s="200"/>
      <c r="BO19" s="200"/>
      <c r="BP19" s="201"/>
      <c r="BQ19" s="199"/>
      <c r="BR19" s="593"/>
      <c r="BS19" s="200"/>
      <c r="BT19" s="200"/>
      <c r="BU19" s="200"/>
      <c r="BV19" s="201"/>
      <c r="BW19" s="593"/>
      <c r="BX19" s="200"/>
      <c r="BY19" s="200"/>
      <c r="BZ19" s="200"/>
      <c r="CA19" s="201"/>
      <c r="CB19" s="593"/>
      <c r="CC19" s="200"/>
      <c r="CD19" s="200"/>
      <c r="CE19" s="200"/>
      <c r="CF19" s="201"/>
      <c r="CG19" s="593"/>
      <c r="CH19" s="200"/>
      <c r="CI19" s="200"/>
      <c r="CJ19" s="200"/>
      <c r="CK19" s="201"/>
    </row>
    <row r="20" spans="1:179" s="57" customFormat="1" ht="9.75" customHeight="1" x14ac:dyDescent="0.15">
      <c r="A20" s="486" t="s">
        <v>218</v>
      </c>
      <c r="B20" s="125"/>
      <c r="C20" s="202"/>
      <c r="D20" s="203"/>
      <c r="E20" s="204"/>
      <c r="F20" s="497"/>
      <c r="G20" s="496"/>
      <c r="H20" s="496"/>
      <c r="I20" s="496"/>
      <c r="J20" s="205"/>
      <c r="K20" s="496"/>
      <c r="L20" s="496"/>
      <c r="M20" s="496"/>
      <c r="N20" s="496"/>
      <c r="O20" s="205"/>
      <c r="P20" s="496"/>
      <c r="Q20" s="496"/>
      <c r="R20" s="496"/>
      <c r="S20" s="496"/>
      <c r="T20" s="206"/>
      <c r="U20" s="209"/>
      <c r="V20" s="552"/>
      <c r="W20" s="406"/>
      <c r="X20" s="553"/>
      <c r="Y20" s="209"/>
      <c r="Z20" s="577"/>
      <c r="AA20" s="616"/>
      <c r="AB20" s="594"/>
      <c r="AC20" s="490"/>
      <c r="AD20" s="490"/>
      <c r="AE20" s="490"/>
      <c r="AF20" s="212"/>
      <c r="AG20" s="594"/>
      <c r="AH20" s="490"/>
      <c r="AI20" s="490"/>
      <c r="AJ20" s="490"/>
      <c r="AK20" s="212"/>
      <c r="AL20" s="594"/>
      <c r="AM20" s="490"/>
      <c r="AN20" s="490"/>
      <c r="AO20" s="490"/>
      <c r="AP20" s="212"/>
      <c r="AQ20" s="594"/>
      <c r="AR20" s="490"/>
      <c r="AS20" s="490"/>
      <c r="AT20" s="490"/>
      <c r="AU20" s="212"/>
      <c r="AV20" s="616"/>
      <c r="AW20" s="594"/>
      <c r="AX20" s="490"/>
      <c r="AY20" s="490"/>
      <c r="AZ20" s="490"/>
      <c r="BA20" s="212"/>
      <c r="BB20" s="594"/>
      <c r="BC20" s="490"/>
      <c r="BD20" s="490"/>
      <c r="BE20" s="490"/>
      <c r="BF20" s="212"/>
      <c r="BG20" s="594"/>
      <c r="BH20" s="490"/>
      <c r="BI20" s="490"/>
      <c r="BJ20" s="490"/>
      <c r="BK20" s="212"/>
      <c r="BL20" s="594"/>
      <c r="BM20" s="490"/>
      <c r="BN20" s="490"/>
      <c r="BO20" s="490"/>
      <c r="BP20" s="212"/>
      <c r="BQ20" s="209"/>
      <c r="BR20" s="594"/>
      <c r="BS20" s="490"/>
      <c r="BT20" s="490"/>
      <c r="BU20" s="490"/>
      <c r="BV20" s="212"/>
      <c r="BW20" s="594"/>
      <c r="BX20" s="490"/>
      <c r="BY20" s="490"/>
      <c r="BZ20" s="490"/>
      <c r="CA20" s="212"/>
      <c r="CB20" s="594"/>
      <c r="CC20" s="490"/>
      <c r="CD20" s="490"/>
      <c r="CE20" s="490"/>
      <c r="CF20" s="212"/>
      <c r="CG20" s="594"/>
      <c r="CH20" s="490"/>
      <c r="CI20" s="490"/>
      <c r="CJ20" s="490"/>
      <c r="CK20" s="212"/>
      <c r="CL20" s="55"/>
      <c r="CM20" s="55"/>
      <c r="CN20" s="55"/>
      <c r="CO20" s="55"/>
      <c r="CP20" s="55"/>
      <c r="CQ20" s="55"/>
      <c r="CR20" s="55"/>
      <c r="CS20" s="55"/>
      <c r="CT20" s="55"/>
      <c r="CU20" s="55"/>
      <c r="CV20" s="55"/>
      <c r="CW20" s="55"/>
      <c r="CX20" s="55"/>
      <c r="CY20" s="55"/>
      <c r="CZ20" s="55"/>
      <c r="DA20" s="55"/>
      <c r="DB20" s="55"/>
      <c r="DC20" s="55"/>
      <c r="DD20" s="55"/>
      <c r="DE20" s="55"/>
      <c r="DF20" s="55"/>
      <c r="DG20" s="55"/>
      <c r="DH20" s="55"/>
      <c r="DI20" s="55"/>
      <c r="DJ20" s="55"/>
      <c r="DK20" s="55"/>
      <c r="DL20" s="55"/>
      <c r="DM20" s="55"/>
      <c r="DN20" s="55"/>
      <c r="DO20" s="55"/>
      <c r="DP20" s="55"/>
      <c r="DQ20" s="55"/>
      <c r="DR20" s="55"/>
      <c r="DS20" s="55"/>
      <c r="DT20" s="55"/>
      <c r="DU20" s="55"/>
      <c r="DV20" s="55"/>
      <c r="DW20" s="55"/>
      <c r="DX20" s="55"/>
      <c r="DY20" s="55"/>
      <c r="DZ20" s="55"/>
      <c r="EA20" s="55"/>
      <c r="EB20" s="55"/>
      <c r="EC20" s="55"/>
      <c r="ED20" s="55"/>
      <c r="EE20" s="55"/>
      <c r="EF20" s="55"/>
      <c r="EG20" s="55"/>
      <c r="EH20" s="55"/>
      <c r="EI20" s="55"/>
      <c r="EJ20" s="55"/>
      <c r="EK20" s="55"/>
      <c r="EL20" s="55"/>
      <c r="EM20" s="55"/>
      <c r="EN20" s="55"/>
      <c r="EO20" s="55"/>
      <c r="EP20" s="55"/>
      <c r="EQ20" s="55"/>
      <c r="ER20" s="55"/>
      <c r="ES20" s="55"/>
      <c r="ET20" s="55"/>
      <c r="EU20" s="55"/>
      <c r="EV20" s="55"/>
      <c r="EW20" s="55"/>
      <c r="EX20" s="55"/>
      <c r="EY20" s="55"/>
      <c r="EZ20" s="55"/>
      <c r="FA20" s="55"/>
      <c r="FB20" s="55"/>
      <c r="FC20" s="55"/>
      <c r="FD20" s="55"/>
      <c r="FE20" s="55"/>
      <c r="FF20" s="55"/>
      <c r="FG20" s="55"/>
      <c r="FH20" s="55"/>
      <c r="FI20" s="55"/>
      <c r="FJ20" s="55"/>
      <c r="FK20" s="55"/>
      <c r="FL20" s="55"/>
      <c r="FM20" s="55"/>
      <c r="FN20" s="55"/>
      <c r="FO20" s="55"/>
      <c r="FP20" s="55"/>
      <c r="FQ20" s="55"/>
      <c r="FR20" s="55"/>
      <c r="FS20" s="55"/>
      <c r="FT20" s="55"/>
      <c r="FU20" s="55"/>
      <c r="FV20" s="55"/>
      <c r="FW20" s="55"/>
    </row>
    <row r="21" spans="1:179" s="57" customFormat="1" ht="9.75" customHeight="1" x14ac:dyDescent="0.15">
      <c r="A21" s="468" t="s">
        <v>144</v>
      </c>
      <c r="B21" s="213">
        <v>0.3</v>
      </c>
      <c r="C21" s="214">
        <v>7.0000000000000007E-2</v>
      </c>
      <c r="D21" s="495">
        <f>SUM('Your Estimation'!B38/12)</f>
        <v>0</v>
      </c>
      <c r="E21" s="430">
        <v>0</v>
      </c>
      <c r="F21" s="215">
        <v>0</v>
      </c>
      <c r="G21" s="216">
        <v>0</v>
      </c>
      <c r="H21" s="493">
        <f>SUM(IF(ISBLANK(D21),B21,D21))</f>
        <v>0</v>
      </c>
      <c r="I21" s="493">
        <f>SUM(IF((1*(IF(ISBLANK(E21),C21,E21)))+IF(ISBLANK(D21),B21,D21) &lt; 0, 0, (1*(IF(ISBLANK(E21),C21,E21)))+IF(ISBLANK(D21),B21,D21)))</f>
        <v>0</v>
      </c>
      <c r="J21" s="217">
        <f>SUM(AE21+AJ21+AO21+AT21)</f>
        <v>0</v>
      </c>
      <c r="K21" s="493">
        <f>SUM(IF((2*(IF(ISBLANK(E21),C21,E21)))+IF(ISBLANK(D21),B21,D21) &lt; 0, 0, (2*(IF(ISBLANK(E21),C21,E21)))+IF(ISBLANK(D21),B21,D21)))</f>
        <v>0</v>
      </c>
      <c r="L21" s="493">
        <f>SUM(IF((3*(IF(ISBLANK(E21),C21,E21)))+IF(ISBLANK(D21),B21,D21) &lt; 0, 0, (3*(IF(ISBLANK(E21),C21,E21)))+IF(ISBLANK(D21),B21,D21)))</f>
        <v>0</v>
      </c>
      <c r="M21" s="493">
        <f>SUM(IF((4*(IF(ISBLANK(E21),C21,E21)))+IF(ISBLANK(D21),B21,D21) &lt; 0, 0, (4*(IF(ISBLANK(E21),C21,E21)))+IF(ISBLANK(D21),B21,D21)))</f>
        <v>0</v>
      </c>
      <c r="N21" s="493">
        <f>SUM(IF((5*(IF(ISBLANK(E21),C21,E21)))+IF(ISBLANK(D21),B21,D21) &lt; 0, 0, (5*(IF(ISBLANK(E21),C21,E21)))+IF(ISBLANK(D21),B21,D21)))</f>
        <v>0</v>
      </c>
      <c r="O21" s="217">
        <f>SUM(AZ21+BE21+BJ21+BO21)</f>
        <v>0</v>
      </c>
      <c r="P21" s="493">
        <f>SUM(IF((6*(IF(ISBLANK(E21),C21,E21)))+IF(ISBLANK(D21),B21,D21) &lt; 0, 0, (6*(IF(ISBLANK(E21),C21,E21)))+IF(ISBLANK(D21),B21,D21)))</f>
        <v>0</v>
      </c>
      <c r="Q21" s="493">
        <f>SUM(IF((7*(IF(ISBLANK(E21),C21,E21)))+IF(ISBLANK(D21),B21,D21) &lt; 0, 0, (7*(IF(ISBLANK(E21),C21,E21)))+IF(ISBLANK(D21),B21,D21)))</f>
        <v>0</v>
      </c>
      <c r="R21" s="493">
        <f>SUM(IF((8*(IF(ISBLANK(E21),C21,E21)))+IF(ISBLANK(D21),B21,D21) &lt; 0, 0, (8*(IF(ISBLANK(E21),C21,E21)))+IF(ISBLANK(D21),B21,D21)))</f>
        <v>0</v>
      </c>
      <c r="S21" s="493">
        <f>SUM(IF((9*(IF(ISBLANK(E21),C21,E21)))+IF(ISBLANK(D21),B21,D21) &lt; 0, 0, (9*(IF(ISBLANK(E21),C21,E21)))+IF(ISBLANK(D21),B21,D21)))</f>
        <v>0</v>
      </c>
      <c r="T21" s="218">
        <f>SUM(BU21+BZ21+CE21+CJ21)</f>
        <v>0</v>
      </c>
      <c r="U21" s="247"/>
      <c r="V21" s="417">
        <f>SUM(IF((11*(IF(ISBLANK(E21),C21,E21)))+IF(ISBLANK(D21),B21,D21) &lt; 0, 0, (11*(IF(ISBLANK(E21),C21,E21)))+IF(ISBLANK(D21),B21,D21)))*12</f>
        <v>0</v>
      </c>
      <c r="W21" s="407">
        <f>SUM(IF((13*(IF(ISBLANK(E21),C21,E21)))+IF(ISBLANK(D21),B21,D21) &lt; 0, 0, (13*(IF(ISBLANK(E21),C21,E21)))+IF(ISBLANK(D21),B21,D21)))*12</f>
        <v>0</v>
      </c>
      <c r="X21" s="554">
        <f>SUM(IF((15*(IF(ISBLANK(E21),C21,E21)))+IF(ISBLANK(D21),B21,D21) &lt; 0, 0, (15*(IF(ISBLANK(E21),C21,E21)))+IF(ISBLANK(D21),B21,D21)))*12</f>
        <v>0</v>
      </c>
      <c r="Y21" s="221"/>
      <c r="Z21" s="578">
        <v>0</v>
      </c>
      <c r="AA21" s="617"/>
      <c r="AB21" s="532">
        <f>SUM(AB18*F21)</f>
        <v>0</v>
      </c>
      <c r="AC21" s="492">
        <f>SUM(AC18*F21)</f>
        <v>0</v>
      </c>
      <c r="AD21" s="492">
        <f>SUM(AD18*F21)</f>
        <v>0</v>
      </c>
      <c r="AE21" s="492">
        <f t="shared" ref="AE21:AE29" si="70">SUM(AB21:AD21)</f>
        <v>0</v>
      </c>
      <c r="AF21" s="222"/>
      <c r="AG21" s="532">
        <f>SUM(AG18*G21)</f>
        <v>0</v>
      </c>
      <c r="AH21" s="492">
        <f>SUM(AH18*G21)</f>
        <v>0</v>
      </c>
      <c r="AI21" s="492">
        <f>SUM(AI18*G21)</f>
        <v>0</v>
      </c>
      <c r="AJ21" s="492">
        <f t="shared" ref="AJ21:AJ29" si="71">SUM(AG21:AI21)</f>
        <v>0</v>
      </c>
      <c r="AK21" s="222"/>
      <c r="AL21" s="532">
        <f t="shared" ref="AL21:AL28" si="72">SUM(AL18*H21)</f>
        <v>0</v>
      </c>
      <c r="AM21" s="492">
        <f t="shared" ref="AM21:AM28" si="73">SUM(AM18*H21)</f>
        <v>0</v>
      </c>
      <c r="AN21" s="492">
        <f t="shared" ref="AN21:AN28" si="74">SUM(AN18*H21)</f>
        <v>0</v>
      </c>
      <c r="AO21" s="492">
        <f t="shared" ref="AO21:AO29" si="75">SUM(AL21:AN21)</f>
        <v>0</v>
      </c>
      <c r="AP21" s="222"/>
      <c r="AQ21" s="532">
        <f>SUM(AQ18*I21)</f>
        <v>0</v>
      </c>
      <c r="AR21" s="492">
        <f>SUM(AR18*I21)</f>
        <v>0</v>
      </c>
      <c r="AS21" s="492">
        <f>SUM(AS18*I21)</f>
        <v>0</v>
      </c>
      <c r="AT21" s="492">
        <f t="shared" ref="AT21:AT29" si="76">SUM(AQ21:AS21)</f>
        <v>0</v>
      </c>
      <c r="AU21" s="222"/>
      <c r="AV21" s="617"/>
      <c r="AW21" s="532">
        <f>SUM(AW18*K21)</f>
        <v>0</v>
      </c>
      <c r="AX21" s="492">
        <f>SUM(AX18*K21)</f>
        <v>0</v>
      </c>
      <c r="AY21" s="492">
        <f>SUM(AY18*K21)</f>
        <v>0</v>
      </c>
      <c r="AZ21" s="492">
        <f t="shared" ref="AZ21:AZ29" si="77">SUM(AW21:AY21)</f>
        <v>0</v>
      </c>
      <c r="BA21" s="222"/>
      <c r="BB21" s="532">
        <f>SUM(BB18*L21)</f>
        <v>0</v>
      </c>
      <c r="BC21" s="492">
        <f>SUM(BC18*L21)</f>
        <v>0</v>
      </c>
      <c r="BD21" s="492">
        <f>SUM(BD18*L21)</f>
        <v>0</v>
      </c>
      <c r="BE21" s="492">
        <f t="shared" ref="BE21:BE29" si="78">SUM(BB21:BD21)</f>
        <v>0</v>
      </c>
      <c r="BF21" s="222"/>
      <c r="BG21" s="532">
        <f>SUM(BG18*M21)</f>
        <v>0</v>
      </c>
      <c r="BH21" s="492">
        <f>SUM(BH18*M21)</f>
        <v>0</v>
      </c>
      <c r="BI21" s="492">
        <f>SUM(BI18*M21)</f>
        <v>0</v>
      </c>
      <c r="BJ21" s="492">
        <f t="shared" ref="BJ21:BJ29" si="79">SUM(BG21:BI21)</f>
        <v>0</v>
      </c>
      <c r="BK21" s="222"/>
      <c r="BL21" s="532">
        <f>SUM(BL18*N21)</f>
        <v>0</v>
      </c>
      <c r="BM21" s="492">
        <f>SUM(BM18*N21)</f>
        <v>0</v>
      </c>
      <c r="BN21" s="492">
        <f>SUM(BN18*N21)</f>
        <v>0</v>
      </c>
      <c r="BO21" s="492">
        <f t="shared" ref="BO21:BO29" si="80">SUM(BL21:BN21)</f>
        <v>0</v>
      </c>
      <c r="BP21" s="222"/>
      <c r="BQ21" s="221"/>
      <c r="BR21" s="532">
        <f>SUM(BR18*P21)</f>
        <v>0</v>
      </c>
      <c r="BS21" s="492">
        <f>SUM(BS18*P21)</f>
        <v>0</v>
      </c>
      <c r="BT21" s="492">
        <f>SUM(BT18*P21)</f>
        <v>0</v>
      </c>
      <c r="BU21" s="492">
        <f t="shared" ref="BU21:BU29" si="81">SUM(BR21:BT21)</f>
        <v>0</v>
      </c>
      <c r="BV21" s="222"/>
      <c r="BW21" s="532">
        <f>SUM(BW18*Q21)</f>
        <v>0</v>
      </c>
      <c r="BX21" s="492">
        <f>SUM(BX18*Q21)</f>
        <v>0</v>
      </c>
      <c r="BY21" s="492">
        <f>SUM(BY18*Q21)</f>
        <v>0</v>
      </c>
      <c r="BZ21" s="492">
        <f t="shared" ref="BZ21:BZ29" si="82">SUM(BW21:BY21)</f>
        <v>0</v>
      </c>
      <c r="CA21" s="222"/>
      <c r="CB21" s="532">
        <f>SUM(CB18*R21)</f>
        <v>0</v>
      </c>
      <c r="CC21" s="492">
        <f>SUM(CC18*R21)</f>
        <v>0</v>
      </c>
      <c r="CD21" s="492">
        <f>SUM(CD18*R21)</f>
        <v>0</v>
      </c>
      <c r="CE21" s="492">
        <f t="shared" ref="CE21:CE29" si="83">SUM(CB21:CD21)</f>
        <v>0</v>
      </c>
      <c r="CF21" s="222"/>
      <c r="CG21" s="532">
        <f>SUM(CG18*S21)</f>
        <v>0</v>
      </c>
      <c r="CH21" s="492">
        <f>SUM(CH18*S21)</f>
        <v>0</v>
      </c>
      <c r="CI21" s="492">
        <f>SUM(CI18*S21)</f>
        <v>0</v>
      </c>
      <c r="CJ21" s="492">
        <f t="shared" ref="CJ21:CJ29" si="84">SUM(CG21:CI21)</f>
        <v>0</v>
      </c>
      <c r="CK21" s="222"/>
      <c r="CL21" s="55"/>
      <c r="CM21" s="55"/>
      <c r="CN21" s="55"/>
      <c r="CO21" s="55"/>
      <c r="CP21" s="55"/>
      <c r="CQ21" s="55"/>
      <c r="CR21" s="55"/>
      <c r="CS21" s="55"/>
      <c r="CT21" s="55"/>
      <c r="CU21" s="55"/>
      <c r="CV21" s="55"/>
      <c r="CW21" s="55"/>
      <c r="CX21" s="55"/>
      <c r="CY21" s="55"/>
      <c r="CZ21" s="55"/>
      <c r="DA21" s="55"/>
      <c r="DB21" s="55"/>
      <c r="DC21" s="55"/>
      <c r="DD21" s="55"/>
      <c r="DE21" s="55"/>
      <c r="DF21" s="55"/>
      <c r="DG21" s="55"/>
      <c r="DH21" s="55"/>
      <c r="DI21" s="55"/>
      <c r="DJ21" s="55"/>
      <c r="DK21" s="55"/>
      <c r="DL21" s="55"/>
      <c r="DM21" s="55"/>
      <c r="DN21" s="55"/>
      <c r="DO21" s="55"/>
      <c r="DP21" s="55"/>
      <c r="DQ21" s="55"/>
      <c r="DR21" s="55"/>
      <c r="DS21" s="55"/>
      <c r="DT21" s="55"/>
      <c r="DU21" s="55"/>
      <c r="DV21" s="55"/>
      <c r="DW21" s="55"/>
      <c r="DX21" s="55"/>
      <c r="DY21" s="55"/>
      <c r="DZ21" s="55"/>
      <c r="EA21" s="55"/>
      <c r="EB21" s="55"/>
      <c r="EC21" s="55"/>
      <c r="ED21" s="55"/>
      <c r="EE21" s="55"/>
      <c r="EF21" s="55"/>
      <c r="EG21" s="55"/>
      <c r="EH21" s="55"/>
      <c r="EI21" s="55"/>
      <c r="EJ21" s="55"/>
      <c r="EK21" s="55"/>
      <c r="EL21" s="55"/>
      <c r="EM21" s="55"/>
      <c r="EN21" s="55"/>
      <c r="EO21" s="55"/>
      <c r="EP21" s="55"/>
      <c r="EQ21" s="55"/>
      <c r="ER21" s="55"/>
      <c r="ES21" s="55"/>
      <c r="ET21" s="55"/>
      <c r="EU21" s="55"/>
      <c r="EV21" s="55"/>
      <c r="EW21" s="55"/>
      <c r="EX21" s="55"/>
      <c r="EY21" s="55"/>
      <c r="EZ21" s="55"/>
      <c r="FA21" s="55"/>
      <c r="FB21" s="55"/>
      <c r="FC21" s="55"/>
      <c r="FD21" s="55"/>
      <c r="FE21" s="55"/>
      <c r="FF21" s="55"/>
      <c r="FG21" s="55"/>
      <c r="FH21" s="55"/>
      <c r="FI21" s="55"/>
      <c r="FJ21" s="55"/>
      <c r="FK21" s="55"/>
      <c r="FL21" s="55"/>
      <c r="FM21" s="55"/>
      <c r="FN21" s="55"/>
      <c r="FO21" s="55"/>
      <c r="FP21" s="55"/>
      <c r="FQ21" s="55"/>
      <c r="FR21" s="55"/>
      <c r="FS21" s="55"/>
      <c r="FT21" s="55"/>
      <c r="FU21" s="55"/>
      <c r="FV21" s="55"/>
      <c r="FW21" s="55"/>
    </row>
    <row r="22" spans="1:179" s="57" customFormat="1" ht="9.75" customHeight="1" x14ac:dyDescent="0.15">
      <c r="A22" s="468" t="s">
        <v>145</v>
      </c>
      <c r="B22" s="213">
        <v>0.27</v>
      </c>
      <c r="C22" s="214">
        <v>7.0000000000000007E-2</v>
      </c>
      <c r="D22" s="495">
        <f>SUM('Your Estimation'!B33/12)</f>
        <v>0</v>
      </c>
      <c r="E22" s="430">
        <v>0</v>
      </c>
      <c r="F22" s="215">
        <v>0</v>
      </c>
      <c r="G22" s="216">
        <v>0</v>
      </c>
      <c r="H22" s="493">
        <f t="shared" ref="H22" si="85">SUM(IF(ISBLANK(D22),B22,D22))</f>
        <v>0</v>
      </c>
      <c r="I22" s="493">
        <f t="shared" ref="I22" si="86">SUM(IF((1*(IF(ISBLANK(E22),C22,E22)))+IF(ISBLANK(D22),B22,D22) &lt; 0, 0, (1*(IF(ISBLANK(E22),C22,E22)))+IF(ISBLANK(D22),B22,D22)))</f>
        <v>0</v>
      </c>
      <c r="J22" s="217">
        <f>SUM(AE22+AJ22+AO22+AT22)</f>
        <v>0</v>
      </c>
      <c r="K22" s="493">
        <f t="shared" ref="K22" si="87">SUM(IF((2*(IF(ISBLANK(E22),C22,E22)))+IF(ISBLANK(D22),B22,D22) &lt; 0, 0, (2*(IF(ISBLANK(E22),C22,E22)))+IF(ISBLANK(D22),B22,D22)))</f>
        <v>0</v>
      </c>
      <c r="L22" s="493">
        <f t="shared" ref="L22" si="88">SUM(IF((3*(IF(ISBLANK(E22),C22,E22)))+IF(ISBLANK(D22),B22,D22) &lt; 0, 0, (3*(IF(ISBLANK(E22),C22,E22)))+IF(ISBLANK(D22),B22,D22)))</f>
        <v>0</v>
      </c>
      <c r="M22" s="493">
        <f t="shared" ref="M22" si="89">SUM(IF((4*(IF(ISBLANK(E22),C22,E22)))+IF(ISBLANK(D22),B22,D22) &lt; 0, 0, (4*(IF(ISBLANK(E22),C22,E22)))+IF(ISBLANK(D22),B22,D22)))</f>
        <v>0</v>
      </c>
      <c r="N22" s="493">
        <f t="shared" ref="N22" si="90">SUM(IF((5*(IF(ISBLANK(E22),C22,E22)))+IF(ISBLANK(D22),B22,D22) &lt; 0, 0, (5*(IF(ISBLANK(E22),C22,E22)))+IF(ISBLANK(D22),B22,D22)))</f>
        <v>0</v>
      </c>
      <c r="O22" s="217">
        <f t="shared" ref="O22:O29" si="91">SUM(AZ22+BE22+BJ22+BO22)</f>
        <v>0</v>
      </c>
      <c r="P22" s="493">
        <f t="shared" ref="P22" si="92">SUM(IF((6*(IF(ISBLANK(E22),C22,E22)))+IF(ISBLANK(D22),B22,D22) &lt; 0, 0, (6*(IF(ISBLANK(E22),C22,E22)))+IF(ISBLANK(D22),B22,D22)))</f>
        <v>0</v>
      </c>
      <c r="Q22" s="493">
        <f t="shared" ref="Q22" si="93">SUM(IF((7*(IF(ISBLANK(E22),C22,E22)))+IF(ISBLANK(D22),B22,D22) &lt; 0, 0, (7*(IF(ISBLANK(E22),C22,E22)))+IF(ISBLANK(D22),B22,D22)))</f>
        <v>0</v>
      </c>
      <c r="R22" s="493">
        <f t="shared" ref="R22" si="94">SUM(IF((8*(IF(ISBLANK(E22),C22,E22)))+IF(ISBLANK(D22),B22,D22) &lt; 0, 0, (8*(IF(ISBLANK(E22),C22,E22)))+IF(ISBLANK(D22),B22,D22)))</f>
        <v>0</v>
      </c>
      <c r="S22" s="493">
        <f t="shared" ref="S22" si="95">SUM(IF((9*(IF(ISBLANK(E22),C22,E22)))+IF(ISBLANK(D22),B22,D22) &lt; 0, 0, (9*(IF(ISBLANK(E22),C22,E22)))+IF(ISBLANK(D22),B22,D22)))</f>
        <v>0</v>
      </c>
      <c r="T22" s="218">
        <f t="shared" ref="T22:T29" si="96">SUM(BU22+BZ22+CE22+CJ22)</f>
        <v>0</v>
      </c>
      <c r="U22" s="247"/>
      <c r="V22" s="417">
        <f>SUM(IF((11*(IF(ISBLANK(E22),C22,E22)))+IF(ISBLANK(D22),B22,D22) &lt; 0, 0, (11*(IF(ISBLANK(E22),C22,E22)))+IF(ISBLANK(D22),B22,D22)))*12</f>
        <v>0</v>
      </c>
      <c r="W22" s="407">
        <f>SUM(IF((13*(IF(ISBLANK(E22),C22,E22)))+IF(ISBLANK(D22),B22,D22) &lt; 0, 0, (13*(IF(ISBLANK(E22),C22,E22)))+IF(ISBLANK(D22),B22,D22)))*12</f>
        <v>0</v>
      </c>
      <c r="X22" s="554">
        <f>SUM(IF((15*(IF(ISBLANK(E22),C22,E22)))+IF(ISBLANK(D22),B22,D22) &lt; 0, 0, (15*(IF(ISBLANK(E22),C22,E22)))+IF(ISBLANK(D22),B22,D22)))*12</f>
        <v>0</v>
      </c>
      <c r="Y22" s="221"/>
      <c r="Z22" s="578">
        <v>0</v>
      </c>
      <c r="AA22" s="617"/>
      <c r="AB22" s="532">
        <f>SUM(AB18*F22)</f>
        <v>0</v>
      </c>
      <c r="AC22" s="492">
        <f>SUM(AC18*F22)</f>
        <v>0</v>
      </c>
      <c r="AD22" s="492">
        <f>SUM(AD18*F22)</f>
        <v>0</v>
      </c>
      <c r="AE22" s="492">
        <f t="shared" si="70"/>
        <v>0</v>
      </c>
      <c r="AF22" s="222"/>
      <c r="AG22" s="532">
        <f>SUM(AG18*G22)</f>
        <v>0</v>
      </c>
      <c r="AH22" s="492">
        <f>SUM(AH18*G22)</f>
        <v>0</v>
      </c>
      <c r="AI22" s="492">
        <f>SUM(AI18*G22)</f>
        <v>0</v>
      </c>
      <c r="AJ22" s="492">
        <f t="shared" si="71"/>
        <v>0</v>
      </c>
      <c r="AK22" s="222"/>
      <c r="AL22" s="532">
        <f t="shared" si="72"/>
        <v>0</v>
      </c>
      <c r="AM22" s="492">
        <f t="shared" si="73"/>
        <v>0</v>
      </c>
      <c r="AN22" s="492">
        <f t="shared" si="74"/>
        <v>0</v>
      </c>
      <c r="AO22" s="492">
        <f t="shared" si="75"/>
        <v>0</v>
      </c>
      <c r="AP22" s="222"/>
      <c r="AQ22" s="532">
        <f>SUM(AQ18*I22)</f>
        <v>0</v>
      </c>
      <c r="AR22" s="492">
        <f>SUM(AR18*I22)</f>
        <v>0</v>
      </c>
      <c r="AS22" s="492">
        <f>SUM(AS18*I22)</f>
        <v>0</v>
      </c>
      <c r="AT22" s="492">
        <f t="shared" si="76"/>
        <v>0</v>
      </c>
      <c r="AU22" s="222"/>
      <c r="AV22" s="617"/>
      <c r="AW22" s="532">
        <f>SUM(AW18*K22)</f>
        <v>0</v>
      </c>
      <c r="AX22" s="492">
        <f>SUM(AX18*K22)</f>
        <v>0</v>
      </c>
      <c r="AY22" s="492">
        <f>SUM(AY18*K22)</f>
        <v>0</v>
      </c>
      <c r="AZ22" s="492">
        <f t="shared" si="77"/>
        <v>0</v>
      </c>
      <c r="BA22" s="222"/>
      <c r="BB22" s="532">
        <f>SUM(BB18*L22)</f>
        <v>0</v>
      </c>
      <c r="BC22" s="492">
        <f>SUM(BC18*L22)</f>
        <v>0</v>
      </c>
      <c r="BD22" s="492">
        <f>SUM(BD18*L22)</f>
        <v>0</v>
      </c>
      <c r="BE22" s="492">
        <f t="shared" si="78"/>
        <v>0</v>
      </c>
      <c r="BF22" s="222"/>
      <c r="BG22" s="532">
        <f>SUM(BG18*M22)</f>
        <v>0</v>
      </c>
      <c r="BH22" s="492">
        <f>SUM(BH18*M22)</f>
        <v>0</v>
      </c>
      <c r="BI22" s="492">
        <f>SUM(BI18*M22)</f>
        <v>0</v>
      </c>
      <c r="BJ22" s="492">
        <f t="shared" si="79"/>
        <v>0</v>
      </c>
      <c r="BK22" s="222"/>
      <c r="BL22" s="532">
        <f>SUM(BL18*N22)</f>
        <v>0</v>
      </c>
      <c r="BM22" s="492">
        <f>SUM(BM18*N22)</f>
        <v>0</v>
      </c>
      <c r="BN22" s="492">
        <f>SUM(BN18*N22)</f>
        <v>0</v>
      </c>
      <c r="BO22" s="492">
        <f t="shared" si="80"/>
        <v>0</v>
      </c>
      <c r="BP22" s="222"/>
      <c r="BQ22" s="221"/>
      <c r="BR22" s="532">
        <f>SUM(BR18*P22)</f>
        <v>0</v>
      </c>
      <c r="BS22" s="492">
        <f>SUM(BS18*P22)</f>
        <v>0</v>
      </c>
      <c r="BT22" s="492">
        <f>SUM(BT18*P22)</f>
        <v>0</v>
      </c>
      <c r="BU22" s="492">
        <f t="shared" si="81"/>
        <v>0</v>
      </c>
      <c r="BV22" s="222"/>
      <c r="BW22" s="532">
        <f>SUM(BW18*Q22)</f>
        <v>0</v>
      </c>
      <c r="BX22" s="492">
        <f>SUM(BX18*Q22)</f>
        <v>0</v>
      </c>
      <c r="BY22" s="492">
        <f>SUM(BY18*Q22)</f>
        <v>0</v>
      </c>
      <c r="BZ22" s="492">
        <f t="shared" si="82"/>
        <v>0</v>
      </c>
      <c r="CA22" s="222"/>
      <c r="CB22" s="532">
        <f>SUM(CB18*R22)</f>
        <v>0</v>
      </c>
      <c r="CC22" s="492">
        <f>SUM(CC18*R22)</f>
        <v>0</v>
      </c>
      <c r="CD22" s="492">
        <f>SUM(CD18*R22)</f>
        <v>0</v>
      </c>
      <c r="CE22" s="492">
        <f t="shared" si="83"/>
        <v>0</v>
      </c>
      <c r="CF22" s="222"/>
      <c r="CG22" s="532">
        <f>SUM(CG18*S22)</f>
        <v>0</v>
      </c>
      <c r="CH22" s="492">
        <f>SUM(CH18*S22)</f>
        <v>0</v>
      </c>
      <c r="CI22" s="492">
        <f>SUM(CI18*S22)</f>
        <v>0</v>
      </c>
      <c r="CJ22" s="492">
        <f t="shared" si="84"/>
        <v>0</v>
      </c>
      <c r="CK22" s="222"/>
      <c r="CL22" s="55"/>
      <c r="CM22" s="55"/>
      <c r="CN22" s="55"/>
      <c r="CO22" s="55"/>
      <c r="CP22" s="55"/>
      <c r="CQ22" s="55"/>
      <c r="CR22" s="55"/>
      <c r="CS22" s="55"/>
      <c r="CT22" s="55"/>
      <c r="CU22" s="55"/>
      <c r="CV22" s="55"/>
      <c r="CW22" s="55"/>
      <c r="CX22" s="55"/>
      <c r="CY22" s="55"/>
      <c r="CZ22" s="55"/>
      <c r="DA22" s="55"/>
      <c r="DB22" s="55"/>
      <c r="DC22" s="55"/>
      <c r="DD22" s="55"/>
      <c r="DE22" s="55"/>
      <c r="DF22" s="55"/>
      <c r="DG22" s="55"/>
      <c r="DH22" s="55"/>
      <c r="DI22" s="55"/>
      <c r="DJ22" s="55"/>
      <c r="DK22" s="55"/>
      <c r="DL22" s="55"/>
      <c r="DM22" s="55"/>
      <c r="DN22" s="55"/>
      <c r="DO22" s="55"/>
      <c r="DP22" s="55"/>
      <c r="DQ22" s="55"/>
      <c r="DR22" s="55"/>
      <c r="DS22" s="55"/>
      <c r="DT22" s="55"/>
      <c r="DU22" s="55"/>
      <c r="DV22" s="55"/>
      <c r="DW22" s="55"/>
      <c r="DX22" s="55"/>
      <c r="DY22" s="55"/>
      <c r="DZ22" s="55"/>
      <c r="EA22" s="55"/>
      <c r="EB22" s="55"/>
      <c r="EC22" s="55"/>
      <c r="ED22" s="55"/>
      <c r="EE22" s="55"/>
      <c r="EF22" s="55"/>
      <c r="EG22" s="55"/>
      <c r="EH22" s="55"/>
      <c r="EI22" s="55"/>
      <c r="EJ22" s="55"/>
      <c r="EK22" s="55"/>
      <c r="EL22" s="55"/>
      <c r="EM22" s="55"/>
      <c r="EN22" s="55"/>
      <c r="EO22" s="55"/>
      <c r="EP22" s="55"/>
      <c r="EQ22" s="55"/>
      <c r="ER22" s="55"/>
      <c r="ES22" s="55"/>
      <c r="ET22" s="55"/>
      <c r="EU22" s="55"/>
      <c r="EV22" s="55"/>
      <c r="EW22" s="55"/>
      <c r="EX22" s="55"/>
      <c r="EY22" s="55"/>
      <c r="EZ22" s="55"/>
      <c r="FA22" s="55"/>
      <c r="FB22" s="55"/>
      <c r="FC22" s="55"/>
      <c r="FD22" s="55"/>
      <c r="FE22" s="55"/>
      <c r="FF22" s="55"/>
      <c r="FG22" s="55"/>
      <c r="FH22" s="55"/>
      <c r="FI22" s="55"/>
      <c r="FJ22" s="55"/>
      <c r="FK22" s="55"/>
      <c r="FL22" s="55"/>
      <c r="FM22" s="55"/>
      <c r="FN22" s="55"/>
      <c r="FO22" s="55"/>
      <c r="FP22" s="55"/>
      <c r="FQ22" s="55"/>
      <c r="FR22" s="55"/>
      <c r="FS22" s="55"/>
      <c r="FT22" s="55"/>
      <c r="FU22" s="55"/>
      <c r="FV22" s="55"/>
      <c r="FW22" s="55"/>
    </row>
    <row r="23" spans="1:179" s="57" customFormat="1" ht="9.75" customHeight="1" x14ac:dyDescent="0.15">
      <c r="A23" s="468" t="s">
        <v>146</v>
      </c>
      <c r="B23" s="213">
        <v>0.02</v>
      </c>
      <c r="C23" s="214">
        <v>7.0000000000000007E-2</v>
      </c>
      <c r="D23" s="495">
        <f>SUM(('Your Estimation'!B43/12)/3)</f>
        <v>0</v>
      </c>
      <c r="E23" s="430">
        <v>0</v>
      </c>
      <c r="F23" s="215">
        <v>0</v>
      </c>
      <c r="G23" s="216">
        <v>0</v>
      </c>
      <c r="H23" s="223">
        <v>0</v>
      </c>
      <c r="I23" s="223">
        <v>0</v>
      </c>
      <c r="J23" s="217">
        <f t="shared" ref="J23:J29" si="97">SUM(AE23+AJ23+AO23+AT23)</f>
        <v>0</v>
      </c>
      <c r="K23" s="493">
        <f>SUM(IF((0*(IF(ISBLANK(E23),C23,E23)))+IF(ISBLANK(D23),B23,D23) &lt; 0, 0, (0*(IF(ISBLANK(E23),C23,E23)))+IF(ISBLANK(D23),B23,D23)))</f>
        <v>0</v>
      </c>
      <c r="L23" s="493">
        <f>SUM(IF((1*(IF(ISBLANK(E23),C23,E23)))+IF(ISBLANK(D23),B23,D23) &lt; 0, 0, (1*(IF(ISBLANK(E23),C23,E23)))+IF(ISBLANK(D23),B23,D23)))</f>
        <v>0</v>
      </c>
      <c r="M23" s="493">
        <f>SUM(IF((2*(IF(ISBLANK(E23),C23,E23)))+IF(ISBLANK(D23),B23,D23) &lt; 0, 0, (2*(IF(ISBLANK(E23),C23,E23)))+IF(ISBLANK(D23),B23,D23)))</f>
        <v>0</v>
      </c>
      <c r="N23" s="493">
        <f>SUM(IF((3*(IF(ISBLANK(E23),C23,E23)))+IF(ISBLANK(D23),B23,D23) &lt; 0, 0, (3*(IF(ISBLANK(E23),C23,E23)))+IF(ISBLANK(D23),B23,D23)))</f>
        <v>0</v>
      </c>
      <c r="O23" s="217">
        <f t="shared" si="91"/>
        <v>0</v>
      </c>
      <c r="P23" s="493">
        <f>SUM(IF((4*(IF(ISBLANK(E23),C23,E23)))+IF(ISBLANK(D23),B23,D23) &lt; 0, 0, (4*(IF(ISBLANK(E23),C23,E23)))+IF(ISBLANK(D23),B23,D23)))</f>
        <v>0</v>
      </c>
      <c r="Q23" s="493">
        <f>SUM(IF((5*(IF(ISBLANK(E23),C23,E23)))+IF(ISBLANK(D23),B23,D23) &lt; 0, 0, (5*(IF(ISBLANK(E23),C23,E23)))+IF(ISBLANK(D23),B23,D23)))</f>
        <v>0</v>
      </c>
      <c r="R23" s="493">
        <f>SUM(IF((6*(IF(ISBLANK(E23),C23,E23)))+IF(ISBLANK(D23),B23,D23) &lt; 0, 0, (6*(IF(ISBLANK(E23),C23,E23)))+IF(ISBLANK(D23),B23,D23)))</f>
        <v>0</v>
      </c>
      <c r="S23" s="493">
        <f>SUM(IF((7*(IF(ISBLANK(E23),C23,E23)))+IF(ISBLANK(D23),B23,D23) &lt; 0, 0, (7*(IF(ISBLANK(E23),C23,E23)))+IF(ISBLANK(D23),B23,D23)))</f>
        <v>0</v>
      </c>
      <c r="T23" s="218">
        <f t="shared" si="96"/>
        <v>0</v>
      </c>
      <c r="U23" s="247"/>
      <c r="V23" s="417">
        <f>SUM(IF((9*(IF(ISBLANK(E23),C23,E23)))+IF(ISBLANK(D23),B23,D23) &lt; 0, 0, (9*(IF(ISBLANK(E23),C23,E23)))+IF(ISBLANK(D23),B23,D23)))*12</f>
        <v>0</v>
      </c>
      <c r="W23" s="407">
        <f>SUM(IF((11*(IF(ISBLANK(E23),C23,E23)))+IF(ISBLANK(D23),B23,D23) &lt; 0, 0, (11*(IF(ISBLANK(E23),C23,E23)))+IF(ISBLANK(D23),B23,D23)))*12</f>
        <v>0</v>
      </c>
      <c r="X23" s="554">
        <f>SUM(IF((13*(IF(ISBLANK(E23),C23,E23)))+IF(ISBLANK(D23),B23,D23) &lt; 0, 0, (13*(IF(ISBLANK(E23),C23,E23)))+IF(ISBLANK(D23),B23,D23)))*12</f>
        <v>0</v>
      </c>
      <c r="Y23" s="221"/>
      <c r="Z23" s="578">
        <v>0</v>
      </c>
      <c r="AA23" s="617"/>
      <c r="AB23" s="532">
        <f>SUM(AB18*F23)</f>
        <v>0</v>
      </c>
      <c r="AC23" s="492">
        <f>SUM(AC18*F23)</f>
        <v>0</v>
      </c>
      <c r="AD23" s="492">
        <f>SUM(AD18*F23)</f>
        <v>0</v>
      </c>
      <c r="AE23" s="492">
        <f t="shared" si="70"/>
        <v>0</v>
      </c>
      <c r="AF23" s="222"/>
      <c r="AG23" s="532">
        <f>SUM(AG18*G23)</f>
        <v>0</v>
      </c>
      <c r="AH23" s="492">
        <f>SUM(AH18*G23)</f>
        <v>0</v>
      </c>
      <c r="AI23" s="492">
        <f>SUM(AI18*G23)</f>
        <v>0</v>
      </c>
      <c r="AJ23" s="492">
        <f t="shared" si="71"/>
        <v>0</v>
      </c>
      <c r="AK23" s="222"/>
      <c r="AL23" s="532">
        <f t="shared" si="72"/>
        <v>0</v>
      </c>
      <c r="AM23" s="492">
        <f t="shared" si="73"/>
        <v>0</v>
      </c>
      <c r="AN23" s="492">
        <f t="shared" si="74"/>
        <v>0</v>
      </c>
      <c r="AO23" s="492">
        <f t="shared" si="75"/>
        <v>0</v>
      </c>
      <c r="AP23" s="222"/>
      <c r="AQ23" s="532">
        <f>SUM(AQ18*I23)</f>
        <v>0</v>
      </c>
      <c r="AR23" s="492">
        <f>SUM(AR18*I23)</f>
        <v>0</v>
      </c>
      <c r="AS23" s="492">
        <f>SUM(AS18*I23)</f>
        <v>0</v>
      </c>
      <c r="AT23" s="492">
        <f t="shared" si="76"/>
        <v>0</v>
      </c>
      <c r="AU23" s="222"/>
      <c r="AV23" s="617"/>
      <c r="AW23" s="532">
        <f>SUM(AW18*K23)</f>
        <v>0</v>
      </c>
      <c r="AX23" s="492">
        <f>SUM(AX18*K23)</f>
        <v>0</v>
      </c>
      <c r="AY23" s="492">
        <f>SUM(AY18*K23)</f>
        <v>0</v>
      </c>
      <c r="AZ23" s="492">
        <f t="shared" si="77"/>
        <v>0</v>
      </c>
      <c r="BA23" s="222"/>
      <c r="BB23" s="532">
        <f>SUM(BB18*L23)</f>
        <v>0</v>
      </c>
      <c r="BC23" s="492">
        <f>SUM(BC18*L23)</f>
        <v>0</v>
      </c>
      <c r="BD23" s="492">
        <f>SUM(BD18*L23)</f>
        <v>0</v>
      </c>
      <c r="BE23" s="492">
        <f t="shared" si="78"/>
        <v>0</v>
      </c>
      <c r="BF23" s="222"/>
      <c r="BG23" s="532">
        <f>SUM(BG18*M23)</f>
        <v>0</v>
      </c>
      <c r="BH23" s="492">
        <f>SUM(BH18*M23)</f>
        <v>0</v>
      </c>
      <c r="BI23" s="492">
        <f>SUM(BI18*M23)</f>
        <v>0</v>
      </c>
      <c r="BJ23" s="492">
        <f t="shared" si="79"/>
        <v>0</v>
      </c>
      <c r="BK23" s="222"/>
      <c r="BL23" s="532">
        <f>SUM(BL18*N23)</f>
        <v>0</v>
      </c>
      <c r="BM23" s="492">
        <f>SUM(BM18*N23)</f>
        <v>0</v>
      </c>
      <c r="BN23" s="492">
        <f>SUM(BN18*N23)</f>
        <v>0</v>
      </c>
      <c r="BO23" s="492">
        <f t="shared" si="80"/>
        <v>0</v>
      </c>
      <c r="BP23" s="222"/>
      <c r="BQ23" s="221"/>
      <c r="BR23" s="532">
        <f>SUM(BR18*P23)</f>
        <v>0</v>
      </c>
      <c r="BS23" s="492">
        <f>SUM(BS18*P23)</f>
        <v>0</v>
      </c>
      <c r="BT23" s="492">
        <f>SUM(BT18*P23)</f>
        <v>0</v>
      </c>
      <c r="BU23" s="492">
        <f t="shared" si="81"/>
        <v>0</v>
      </c>
      <c r="BV23" s="222"/>
      <c r="BW23" s="532">
        <f>SUM(BW18*Q23)</f>
        <v>0</v>
      </c>
      <c r="BX23" s="492">
        <f>SUM(BX18*Q23)</f>
        <v>0</v>
      </c>
      <c r="BY23" s="492">
        <f>SUM(BY18*Q23)</f>
        <v>0</v>
      </c>
      <c r="BZ23" s="492">
        <f t="shared" si="82"/>
        <v>0</v>
      </c>
      <c r="CA23" s="222"/>
      <c r="CB23" s="532">
        <f>SUM(CB18*R23)</f>
        <v>0</v>
      </c>
      <c r="CC23" s="492">
        <f>SUM(CC18*R23)</f>
        <v>0</v>
      </c>
      <c r="CD23" s="492">
        <f>SUM(CD18*R23)</f>
        <v>0</v>
      </c>
      <c r="CE23" s="492">
        <f t="shared" si="83"/>
        <v>0</v>
      </c>
      <c r="CF23" s="222"/>
      <c r="CG23" s="532">
        <f>SUM(CG18*S23)</f>
        <v>0</v>
      </c>
      <c r="CH23" s="492">
        <f>SUM(CH18*S23)</f>
        <v>0</v>
      </c>
      <c r="CI23" s="492">
        <f>SUM(CI18*S23)</f>
        <v>0</v>
      </c>
      <c r="CJ23" s="492">
        <f t="shared" si="84"/>
        <v>0</v>
      </c>
      <c r="CK23" s="222"/>
      <c r="CL23" s="55"/>
      <c r="CM23" s="55"/>
      <c r="CN23" s="55"/>
      <c r="CO23" s="55"/>
      <c r="CP23" s="55"/>
      <c r="CQ23" s="55"/>
      <c r="CR23" s="55"/>
      <c r="CS23" s="55"/>
      <c r="CT23" s="55"/>
      <c r="CU23" s="55"/>
      <c r="CV23" s="55"/>
      <c r="CW23" s="55"/>
      <c r="CX23" s="55"/>
      <c r="CY23" s="55"/>
      <c r="CZ23" s="55"/>
      <c r="DA23" s="55"/>
      <c r="DB23" s="55"/>
      <c r="DC23" s="55"/>
      <c r="DD23" s="55"/>
      <c r="DE23" s="55"/>
      <c r="DF23" s="55"/>
      <c r="DG23" s="55"/>
      <c r="DH23" s="55"/>
      <c r="DI23" s="55"/>
      <c r="DJ23" s="55"/>
      <c r="DK23" s="55"/>
      <c r="DL23" s="55"/>
      <c r="DM23" s="55"/>
      <c r="DN23" s="55"/>
      <c r="DO23" s="55"/>
      <c r="DP23" s="55"/>
      <c r="DQ23" s="55"/>
      <c r="DR23" s="55"/>
      <c r="DS23" s="55"/>
      <c r="DT23" s="55"/>
      <c r="DU23" s="55"/>
      <c r="DV23" s="55"/>
      <c r="DW23" s="55"/>
      <c r="DX23" s="55"/>
      <c r="DY23" s="55"/>
      <c r="DZ23" s="55"/>
      <c r="EA23" s="55"/>
      <c r="EB23" s="55"/>
      <c r="EC23" s="55"/>
      <c r="ED23" s="55"/>
      <c r="EE23" s="55"/>
      <c r="EF23" s="55"/>
      <c r="EG23" s="55"/>
      <c r="EH23" s="55"/>
      <c r="EI23" s="55"/>
      <c r="EJ23" s="55"/>
      <c r="EK23" s="55"/>
      <c r="EL23" s="55"/>
      <c r="EM23" s="55"/>
      <c r="EN23" s="55"/>
      <c r="EO23" s="55"/>
      <c r="EP23" s="55"/>
      <c r="EQ23" s="55"/>
      <c r="ER23" s="55"/>
      <c r="ES23" s="55"/>
      <c r="ET23" s="55"/>
      <c r="EU23" s="55"/>
      <c r="EV23" s="55"/>
      <c r="EW23" s="55"/>
      <c r="EX23" s="55"/>
      <c r="EY23" s="55"/>
      <c r="EZ23" s="55"/>
      <c r="FA23" s="55"/>
      <c r="FB23" s="55"/>
      <c r="FC23" s="55"/>
      <c r="FD23" s="55"/>
      <c r="FE23" s="55"/>
      <c r="FF23" s="55"/>
      <c r="FG23" s="55"/>
      <c r="FH23" s="55"/>
      <c r="FI23" s="55"/>
      <c r="FJ23" s="55"/>
      <c r="FK23" s="55"/>
      <c r="FL23" s="55"/>
      <c r="FM23" s="55"/>
      <c r="FN23" s="55"/>
      <c r="FO23" s="55"/>
      <c r="FP23" s="55"/>
      <c r="FQ23" s="55"/>
      <c r="FR23" s="55"/>
      <c r="FS23" s="55"/>
      <c r="FT23" s="55"/>
      <c r="FU23" s="55"/>
      <c r="FV23" s="55"/>
      <c r="FW23" s="55"/>
    </row>
    <row r="24" spans="1:179" s="57" customFormat="1" ht="9.75" customHeight="1" x14ac:dyDescent="0.15">
      <c r="A24" s="468" t="s">
        <v>147</v>
      </c>
      <c r="B24" s="213">
        <v>0.01</v>
      </c>
      <c r="C24" s="214">
        <v>0.1</v>
      </c>
      <c r="D24" s="495">
        <f>SUM(('Your Estimation'!B43/12)/3)</f>
        <v>0</v>
      </c>
      <c r="E24" s="430">
        <v>0</v>
      </c>
      <c r="F24" s="215">
        <v>0</v>
      </c>
      <c r="G24" s="216">
        <v>0</v>
      </c>
      <c r="H24" s="223">
        <v>0</v>
      </c>
      <c r="I24" s="223">
        <v>0</v>
      </c>
      <c r="J24" s="217">
        <f t="shared" si="97"/>
        <v>0</v>
      </c>
      <c r="K24" s="493">
        <f>SUM(IF((0*(IF(ISBLANK(E24),C24,E24)))+IF(ISBLANK(D24),B24,D24) &lt; 0, 0, (0*(IF(ISBLANK(E24),C24,E24)))+IF(ISBLANK(D24),B24,D24)))</f>
        <v>0</v>
      </c>
      <c r="L24" s="493">
        <f>SUM(IF((1*(IF(ISBLANK(E24),C24,E24)))+IF(ISBLANK(D24),B24,D24) &lt; 0, 0, (1*(IF(ISBLANK(E24),C24,E24)))+IF(ISBLANK(D24),B24,D24)))</f>
        <v>0</v>
      </c>
      <c r="M24" s="493">
        <f>SUM(IF((2*(IF(ISBLANK(E24),C24,E24)))+IF(ISBLANK(D24),B24,D24) &lt; 0, 0, (2*(IF(ISBLANK(E24),C24,E24)))+IF(ISBLANK(D24),B24,D24)))</f>
        <v>0</v>
      </c>
      <c r="N24" s="493">
        <f>SUM(IF((3*(IF(ISBLANK(E24),C24,E24)))+IF(ISBLANK(D24),B24,D24) &lt; 0, 0, (3*(IF(ISBLANK(E24),C24,E24)))+IF(ISBLANK(D24),B24,D24)))</f>
        <v>0</v>
      </c>
      <c r="O24" s="217">
        <f t="shared" si="91"/>
        <v>0</v>
      </c>
      <c r="P24" s="493">
        <f>SUM(IF((4*(IF(ISBLANK(E24),C24,E24)))+IF(ISBLANK(D24),B24,D24) &lt; 0, 0, (4*(IF(ISBLANK(E24),C24,E24)))+IF(ISBLANK(D24),B24,D24)))</f>
        <v>0</v>
      </c>
      <c r="Q24" s="493">
        <f>SUM(IF((5*(IF(ISBLANK(E24),C24,E24)))+IF(ISBLANK(D24),B24,D24) &lt; 0, 0, (5*(IF(ISBLANK(E24),C24,E24)))+IF(ISBLANK(D24),B24,D24)))</f>
        <v>0</v>
      </c>
      <c r="R24" s="493">
        <f>SUM(IF((6*(IF(ISBLANK(E24),C24,E24)))+IF(ISBLANK(D24),B24,D24) &lt; 0, 0, (6*(IF(ISBLANK(E24),C24,E24)))+IF(ISBLANK(D24),B24,D24)))</f>
        <v>0</v>
      </c>
      <c r="S24" s="493">
        <f>SUM(IF((7*(IF(ISBLANK(E24),C24,E24)))+IF(ISBLANK(D24),B24,D24) &lt; 0, 0, (7*(IF(ISBLANK(E24),C24,E24)))+IF(ISBLANK(D24),B24,D24)))</f>
        <v>0</v>
      </c>
      <c r="T24" s="218">
        <f t="shared" si="96"/>
        <v>0</v>
      </c>
      <c r="U24" s="247"/>
      <c r="V24" s="417">
        <f>SUM(IF((9*(IF(ISBLANK(E24),C24,E24)))+IF(ISBLANK(D24),B24,D24) &lt; 0, 0, (9*(IF(ISBLANK(E24),C24,E24)))+IF(ISBLANK(D24),B24,D24)))*12</f>
        <v>0</v>
      </c>
      <c r="W24" s="407">
        <f>SUM(IF((11*(IF(ISBLANK(E24),C24,E24)))+IF(ISBLANK(D24),B24,D24) &lt; 0, 0, (11*(IF(ISBLANK(E24),C24,E24)))+IF(ISBLANK(D24),B24,D24)))*12</f>
        <v>0</v>
      </c>
      <c r="X24" s="554">
        <f>SUM(IF((13*(IF(ISBLANK(E24),C24,E24)))+IF(ISBLANK(D24),B24,D24) &lt; 0, 0, (13*(IF(ISBLANK(E24),C24,E24)))+IF(ISBLANK(D24),B24,D24)))*12</f>
        <v>0</v>
      </c>
      <c r="Y24" s="221"/>
      <c r="Z24" s="578">
        <v>0</v>
      </c>
      <c r="AA24" s="617"/>
      <c r="AB24" s="532">
        <f>SUM(AB18*F24)</f>
        <v>0</v>
      </c>
      <c r="AC24" s="492">
        <f>SUM(AC18*F24)</f>
        <v>0</v>
      </c>
      <c r="AD24" s="492">
        <f>SUM(AD18*F24)</f>
        <v>0</v>
      </c>
      <c r="AE24" s="492">
        <f t="shared" si="70"/>
        <v>0</v>
      </c>
      <c r="AF24" s="222"/>
      <c r="AG24" s="532">
        <f>SUM(AG18*G24)</f>
        <v>0</v>
      </c>
      <c r="AH24" s="492">
        <f>SUM(AH18*G24)</f>
        <v>0</v>
      </c>
      <c r="AI24" s="492">
        <f>SUM(AI18*G24)</f>
        <v>0</v>
      </c>
      <c r="AJ24" s="492">
        <f t="shared" si="71"/>
        <v>0</v>
      </c>
      <c r="AK24" s="222"/>
      <c r="AL24" s="532">
        <f t="shared" si="72"/>
        <v>0</v>
      </c>
      <c r="AM24" s="492">
        <f t="shared" si="73"/>
        <v>0</v>
      </c>
      <c r="AN24" s="492">
        <f t="shared" si="74"/>
        <v>0</v>
      </c>
      <c r="AO24" s="492">
        <f t="shared" si="75"/>
        <v>0</v>
      </c>
      <c r="AP24" s="222"/>
      <c r="AQ24" s="532">
        <f>SUM(AQ18*I24)</f>
        <v>0</v>
      </c>
      <c r="AR24" s="492">
        <f>SUM(AR18*I24)</f>
        <v>0</v>
      </c>
      <c r="AS24" s="492">
        <f>SUM(AS18*I24)</f>
        <v>0</v>
      </c>
      <c r="AT24" s="492">
        <f t="shared" si="76"/>
        <v>0</v>
      </c>
      <c r="AU24" s="222"/>
      <c r="AV24" s="617"/>
      <c r="AW24" s="532">
        <f>SUM(AW18*K24)</f>
        <v>0</v>
      </c>
      <c r="AX24" s="492">
        <f>SUM(AX18*K24)</f>
        <v>0</v>
      </c>
      <c r="AY24" s="492">
        <f>SUM(AY18*K24)</f>
        <v>0</v>
      </c>
      <c r="AZ24" s="492">
        <f t="shared" si="77"/>
        <v>0</v>
      </c>
      <c r="BA24" s="222"/>
      <c r="BB24" s="532">
        <f>SUM(BB18*L24)</f>
        <v>0</v>
      </c>
      <c r="BC24" s="492">
        <f>SUM(BC18*L24)</f>
        <v>0</v>
      </c>
      <c r="BD24" s="492">
        <f>SUM(BD18*L24)</f>
        <v>0</v>
      </c>
      <c r="BE24" s="492">
        <f t="shared" si="78"/>
        <v>0</v>
      </c>
      <c r="BF24" s="222"/>
      <c r="BG24" s="532">
        <f>SUM(BG18*M24)</f>
        <v>0</v>
      </c>
      <c r="BH24" s="492">
        <f>SUM(BH18*M24)</f>
        <v>0</v>
      </c>
      <c r="BI24" s="492">
        <f>SUM(BI18*M24)</f>
        <v>0</v>
      </c>
      <c r="BJ24" s="492">
        <f t="shared" si="79"/>
        <v>0</v>
      </c>
      <c r="BK24" s="222"/>
      <c r="BL24" s="532">
        <f>SUM(BL18*N24)</f>
        <v>0</v>
      </c>
      <c r="BM24" s="492">
        <f>SUM(BM18*N24)</f>
        <v>0</v>
      </c>
      <c r="BN24" s="492">
        <f>SUM(BN18*N24)</f>
        <v>0</v>
      </c>
      <c r="BO24" s="492">
        <f t="shared" si="80"/>
        <v>0</v>
      </c>
      <c r="BP24" s="222"/>
      <c r="BQ24" s="221"/>
      <c r="BR24" s="532">
        <f>SUM(BR18*P24)</f>
        <v>0</v>
      </c>
      <c r="BS24" s="492">
        <f>SUM(BS18*P24)</f>
        <v>0</v>
      </c>
      <c r="BT24" s="492">
        <f>SUM(BT18*P24)</f>
        <v>0</v>
      </c>
      <c r="BU24" s="492">
        <f t="shared" si="81"/>
        <v>0</v>
      </c>
      <c r="BV24" s="222"/>
      <c r="BW24" s="532">
        <f>SUM(BW18*Q24)</f>
        <v>0</v>
      </c>
      <c r="BX24" s="492">
        <f>SUM(BX18*Q24)</f>
        <v>0</v>
      </c>
      <c r="BY24" s="492">
        <f>SUM(BY18*Q24)</f>
        <v>0</v>
      </c>
      <c r="BZ24" s="492">
        <f t="shared" si="82"/>
        <v>0</v>
      </c>
      <c r="CA24" s="222"/>
      <c r="CB24" s="532">
        <f>SUM(CB18*R24)</f>
        <v>0</v>
      </c>
      <c r="CC24" s="492">
        <f>SUM(CC18*R24)</f>
        <v>0</v>
      </c>
      <c r="CD24" s="492">
        <f>SUM(CD18*R24)</f>
        <v>0</v>
      </c>
      <c r="CE24" s="492">
        <f t="shared" si="83"/>
        <v>0</v>
      </c>
      <c r="CF24" s="222"/>
      <c r="CG24" s="532">
        <f>SUM(CG18*S24)</f>
        <v>0</v>
      </c>
      <c r="CH24" s="492">
        <f>SUM(CH18*S24)</f>
        <v>0</v>
      </c>
      <c r="CI24" s="492">
        <f>SUM(CI18*S24)</f>
        <v>0</v>
      </c>
      <c r="CJ24" s="492">
        <f t="shared" si="84"/>
        <v>0</v>
      </c>
      <c r="CK24" s="222"/>
      <c r="CL24" s="55"/>
      <c r="CM24" s="55"/>
      <c r="CN24" s="55"/>
      <c r="CO24" s="55"/>
      <c r="CP24" s="55"/>
      <c r="CQ24" s="55"/>
      <c r="CR24" s="55"/>
      <c r="CS24" s="55"/>
      <c r="CT24" s="55"/>
      <c r="CU24" s="55"/>
      <c r="CV24" s="55"/>
      <c r="CW24" s="55"/>
      <c r="CX24" s="55"/>
      <c r="CY24" s="55"/>
      <c r="CZ24" s="55"/>
      <c r="DA24" s="55"/>
      <c r="DB24" s="55"/>
      <c r="DC24" s="55"/>
      <c r="DD24" s="55"/>
      <c r="DE24" s="55"/>
      <c r="DF24" s="55"/>
      <c r="DG24" s="55"/>
      <c r="DH24" s="55"/>
      <c r="DI24" s="55"/>
      <c r="DJ24" s="55"/>
      <c r="DK24" s="55"/>
      <c r="DL24" s="55"/>
      <c r="DM24" s="55"/>
      <c r="DN24" s="55"/>
      <c r="DO24" s="55"/>
      <c r="DP24" s="55"/>
      <c r="DQ24" s="55"/>
      <c r="DR24" s="55"/>
      <c r="DS24" s="55"/>
      <c r="DT24" s="55"/>
      <c r="DU24" s="55"/>
      <c r="DV24" s="55"/>
      <c r="DW24" s="55"/>
      <c r="DX24" s="55"/>
      <c r="DY24" s="55"/>
      <c r="DZ24" s="55"/>
      <c r="EA24" s="55"/>
      <c r="EB24" s="55"/>
      <c r="EC24" s="55"/>
      <c r="ED24" s="55"/>
      <c r="EE24" s="55"/>
      <c r="EF24" s="55"/>
      <c r="EG24" s="55"/>
      <c r="EH24" s="55"/>
      <c r="EI24" s="55"/>
      <c r="EJ24" s="55"/>
      <c r="EK24" s="55"/>
      <c r="EL24" s="55"/>
      <c r="EM24" s="55"/>
      <c r="EN24" s="55"/>
      <c r="EO24" s="55"/>
      <c r="EP24" s="55"/>
      <c r="EQ24" s="55"/>
      <c r="ER24" s="55"/>
      <c r="ES24" s="55"/>
      <c r="ET24" s="55"/>
      <c r="EU24" s="55"/>
      <c r="EV24" s="55"/>
      <c r="EW24" s="55"/>
      <c r="EX24" s="55"/>
      <c r="EY24" s="55"/>
      <c r="EZ24" s="55"/>
      <c r="FA24" s="55"/>
      <c r="FB24" s="55"/>
      <c r="FC24" s="55"/>
      <c r="FD24" s="55"/>
      <c r="FE24" s="55"/>
      <c r="FF24" s="55"/>
      <c r="FG24" s="55"/>
      <c r="FH24" s="55"/>
      <c r="FI24" s="55"/>
      <c r="FJ24" s="55"/>
      <c r="FK24" s="55"/>
      <c r="FL24" s="55"/>
      <c r="FM24" s="55"/>
      <c r="FN24" s="55"/>
      <c r="FO24" s="55"/>
      <c r="FP24" s="55"/>
      <c r="FQ24" s="55"/>
      <c r="FR24" s="55"/>
      <c r="FS24" s="55"/>
      <c r="FT24" s="55"/>
      <c r="FU24" s="55"/>
      <c r="FV24" s="55"/>
      <c r="FW24" s="55"/>
    </row>
    <row r="25" spans="1:179" s="57" customFormat="1" ht="9.75" customHeight="1" x14ac:dyDescent="0.15">
      <c r="A25" s="468" t="s">
        <v>148</v>
      </c>
      <c r="B25" s="213">
        <v>0.01</v>
      </c>
      <c r="C25" s="214">
        <v>0.02</v>
      </c>
      <c r="D25" s="495">
        <f>SUM(('Your Estimation'!B43/12)/3)</f>
        <v>0</v>
      </c>
      <c r="E25" s="430">
        <v>0</v>
      </c>
      <c r="F25" s="215">
        <v>0</v>
      </c>
      <c r="G25" s="216">
        <v>0</v>
      </c>
      <c r="H25" s="223">
        <v>0</v>
      </c>
      <c r="I25" s="223">
        <v>0</v>
      </c>
      <c r="J25" s="217">
        <f t="shared" si="97"/>
        <v>0</v>
      </c>
      <c r="K25" s="493">
        <f>SUM(IF((0*(IF(ISBLANK(E25),C25,E25)))+IF(ISBLANK(D25),B25,D25) &lt; 0, 0, (0*(IF(ISBLANK(E25),C25,E25)))+IF(ISBLANK(D25),B25,D25)))</f>
        <v>0</v>
      </c>
      <c r="L25" s="493">
        <f>SUM(IF((1*(IF(ISBLANK(E25),C25,E25)))+IF(ISBLANK(D25),B25,D25) &lt; 0, 0, (1*(IF(ISBLANK(E25),C25,E25)))+IF(ISBLANK(D25),B25,D25)))</f>
        <v>0</v>
      </c>
      <c r="M25" s="493">
        <f>SUM(IF((2*(IF(ISBLANK(E25),C25,E25)))+IF(ISBLANK(D25),B25,D25) &lt; 0, 0, (2*(IF(ISBLANK(E25),C25,E25)))+IF(ISBLANK(D25),B25,D25)))</f>
        <v>0</v>
      </c>
      <c r="N25" s="493">
        <f>SUM(IF((3*(IF(ISBLANK(E25),C25,E25)))+IF(ISBLANK(D25),B25,D25) &lt; 0, 0, (3*(IF(ISBLANK(E25),C25,E25)))+IF(ISBLANK(D25),B25,D25)))</f>
        <v>0</v>
      </c>
      <c r="O25" s="217">
        <f t="shared" si="91"/>
        <v>0</v>
      </c>
      <c r="P25" s="493">
        <f>SUM(IF((4*(IF(ISBLANK(E25),C25,E25)))+IF(ISBLANK(D25),B25,D25) &lt; 0, 0, (4*(IF(ISBLANK(E25),C25,E25)))+IF(ISBLANK(D25),B25,D25)))</f>
        <v>0</v>
      </c>
      <c r="Q25" s="493">
        <f>SUM(IF((5*(IF(ISBLANK(E25),C25,E25)))+IF(ISBLANK(D25),B25,D25) &lt; 0, 0, (5*(IF(ISBLANK(E25),C25,E25)))+IF(ISBLANK(D25),B25,D25)))</f>
        <v>0</v>
      </c>
      <c r="R25" s="493">
        <f>SUM(IF((6*(IF(ISBLANK(E25),C25,E25)))+IF(ISBLANK(D25),B25,D25) &lt; 0, 0, (6*(IF(ISBLANK(E25),C25,E25)))+IF(ISBLANK(D25),B25,D25)))</f>
        <v>0</v>
      </c>
      <c r="S25" s="493">
        <f>SUM(IF((7*(IF(ISBLANK(E25),C25,E25)))+IF(ISBLANK(D25),B25,D25) &lt; 0, 0, (7*(IF(ISBLANK(E25),C25,E25)))+IF(ISBLANK(D25),B25,D25)))</f>
        <v>0</v>
      </c>
      <c r="T25" s="218">
        <f t="shared" si="96"/>
        <v>0</v>
      </c>
      <c r="U25" s="247"/>
      <c r="V25" s="417">
        <f>SUM(IF((9*(IF(ISBLANK(E25),C25,E25)))+IF(ISBLANK(D25),B25,D25) &lt; 0, 0, (9*(IF(ISBLANK(E25),C25,E25)))+IF(ISBLANK(D25),B25,D25)))*12</f>
        <v>0</v>
      </c>
      <c r="W25" s="407">
        <f>SUM(IF((11*(IF(ISBLANK(E25),C25,E25)))+IF(ISBLANK(D25),B25,D25) &lt; 0, 0, (11*(IF(ISBLANK(E25),C25,E25)))+IF(ISBLANK(D25),B25,D25)))*12</f>
        <v>0</v>
      </c>
      <c r="X25" s="554">
        <f>SUM(IF((13*(IF(ISBLANK(E25),C25,E25)))+IF(ISBLANK(D25),B25,D25) &lt; 0, 0, (13*(IF(ISBLANK(E25),C25,E25)))+IF(ISBLANK(D25),B25,D25)))*12</f>
        <v>0</v>
      </c>
      <c r="Y25" s="221"/>
      <c r="Z25" s="578">
        <v>0</v>
      </c>
      <c r="AA25" s="617"/>
      <c r="AB25" s="532">
        <f>SUM(AB18*F25)</f>
        <v>0</v>
      </c>
      <c r="AC25" s="492">
        <f>SUM(AC18*F25)</f>
        <v>0</v>
      </c>
      <c r="AD25" s="492">
        <f>SUM(AD18*F25)</f>
        <v>0</v>
      </c>
      <c r="AE25" s="492">
        <f t="shared" si="70"/>
        <v>0</v>
      </c>
      <c r="AF25" s="222"/>
      <c r="AG25" s="532">
        <f>SUM(AG18*G25)</f>
        <v>0</v>
      </c>
      <c r="AH25" s="492">
        <f>SUM(AH18*G25)</f>
        <v>0</v>
      </c>
      <c r="AI25" s="492">
        <f>SUM(AI18*G25)</f>
        <v>0</v>
      </c>
      <c r="AJ25" s="492">
        <f t="shared" si="71"/>
        <v>0</v>
      </c>
      <c r="AK25" s="222"/>
      <c r="AL25" s="532">
        <f t="shared" si="72"/>
        <v>0</v>
      </c>
      <c r="AM25" s="492">
        <f t="shared" si="73"/>
        <v>0</v>
      </c>
      <c r="AN25" s="492">
        <f t="shared" si="74"/>
        <v>0</v>
      </c>
      <c r="AO25" s="492">
        <f t="shared" si="75"/>
        <v>0</v>
      </c>
      <c r="AP25" s="222"/>
      <c r="AQ25" s="532">
        <f>SUM(AQ18*I25)</f>
        <v>0</v>
      </c>
      <c r="AR25" s="492">
        <f>SUM(AR18*I25)</f>
        <v>0</v>
      </c>
      <c r="AS25" s="492">
        <f>SUM(AS18*I25)</f>
        <v>0</v>
      </c>
      <c r="AT25" s="492">
        <f t="shared" si="76"/>
        <v>0</v>
      </c>
      <c r="AU25" s="222"/>
      <c r="AV25" s="617"/>
      <c r="AW25" s="532">
        <f>SUM(AW18*K25)</f>
        <v>0</v>
      </c>
      <c r="AX25" s="492">
        <f>SUM(AX18*K25)</f>
        <v>0</v>
      </c>
      <c r="AY25" s="492">
        <f>SUM(AY18*K25)</f>
        <v>0</v>
      </c>
      <c r="AZ25" s="492">
        <f t="shared" si="77"/>
        <v>0</v>
      </c>
      <c r="BA25" s="222"/>
      <c r="BB25" s="532">
        <f>SUM(BB18*L25)</f>
        <v>0</v>
      </c>
      <c r="BC25" s="492">
        <f>SUM(BC18*L25)</f>
        <v>0</v>
      </c>
      <c r="BD25" s="492">
        <f>SUM(BD18*L25)</f>
        <v>0</v>
      </c>
      <c r="BE25" s="492">
        <f t="shared" si="78"/>
        <v>0</v>
      </c>
      <c r="BF25" s="222"/>
      <c r="BG25" s="532">
        <f>SUM(BG18*M25)</f>
        <v>0</v>
      </c>
      <c r="BH25" s="492">
        <f>SUM(BH18*M25)</f>
        <v>0</v>
      </c>
      <c r="BI25" s="492">
        <f>SUM(BI18*M25)</f>
        <v>0</v>
      </c>
      <c r="BJ25" s="492">
        <f t="shared" si="79"/>
        <v>0</v>
      </c>
      <c r="BK25" s="222"/>
      <c r="BL25" s="532">
        <f>SUM(BL18*N25)</f>
        <v>0</v>
      </c>
      <c r="BM25" s="492">
        <f>SUM(BM18*N25)</f>
        <v>0</v>
      </c>
      <c r="BN25" s="492">
        <f>SUM(BN18*N25)</f>
        <v>0</v>
      </c>
      <c r="BO25" s="492">
        <f t="shared" si="80"/>
        <v>0</v>
      </c>
      <c r="BP25" s="222"/>
      <c r="BQ25" s="221"/>
      <c r="BR25" s="532">
        <f>SUM(BR18*P25)</f>
        <v>0</v>
      </c>
      <c r="BS25" s="492">
        <f>SUM(BS18*P25)</f>
        <v>0</v>
      </c>
      <c r="BT25" s="492">
        <f>SUM(BT18*P25)</f>
        <v>0</v>
      </c>
      <c r="BU25" s="492">
        <f t="shared" si="81"/>
        <v>0</v>
      </c>
      <c r="BV25" s="222"/>
      <c r="BW25" s="532">
        <f>SUM(BW18*Q25)</f>
        <v>0</v>
      </c>
      <c r="BX25" s="492">
        <f>SUM(BX18*Q25)</f>
        <v>0</v>
      </c>
      <c r="BY25" s="492">
        <f>SUM(BY18*Q25)</f>
        <v>0</v>
      </c>
      <c r="BZ25" s="492">
        <f t="shared" si="82"/>
        <v>0</v>
      </c>
      <c r="CA25" s="222"/>
      <c r="CB25" s="532">
        <f>SUM(CB18*R25)</f>
        <v>0</v>
      </c>
      <c r="CC25" s="492">
        <f>SUM(CC18*R25)</f>
        <v>0</v>
      </c>
      <c r="CD25" s="492">
        <f>SUM(CD18*R25)</f>
        <v>0</v>
      </c>
      <c r="CE25" s="492">
        <f t="shared" si="83"/>
        <v>0</v>
      </c>
      <c r="CF25" s="222"/>
      <c r="CG25" s="532">
        <f>SUM(CG18*S25)</f>
        <v>0</v>
      </c>
      <c r="CH25" s="492">
        <f>SUM(CH18*S25)</f>
        <v>0</v>
      </c>
      <c r="CI25" s="492">
        <f>SUM(CI18*S25)</f>
        <v>0</v>
      </c>
      <c r="CJ25" s="492">
        <f t="shared" si="84"/>
        <v>0</v>
      </c>
      <c r="CK25" s="222"/>
      <c r="CL25" s="55"/>
      <c r="CM25" s="55"/>
      <c r="CN25" s="55"/>
      <c r="CO25" s="55"/>
      <c r="CP25" s="55"/>
      <c r="CQ25" s="55"/>
      <c r="CR25" s="55"/>
      <c r="CS25" s="55"/>
      <c r="CT25" s="55"/>
      <c r="CU25" s="55"/>
      <c r="CV25" s="55"/>
      <c r="CW25" s="55"/>
      <c r="CX25" s="55"/>
      <c r="CY25" s="55"/>
      <c r="CZ25" s="55"/>
      <c r="DA25" s="55"/>
      <c r="DB25" s="55"/>
      <c r="DC25" s="55"/>
      <c r="DD25" s="55"/>
      <c r="DE25" s="55"/>
      <c r="DF25" s="55"/>
      <c r="DG25" s="55"/>
      <c r="DH25" s="55"/>
      <c r="DI25" s="55"/>
      <c r="DJ25" s="55"/>
      <c r="DK25" s="55"/>
      <c r="DL25" s="55"/>
      <c r="DM25" s="55"/>
      <c r="DN25" s="55"/>
      <c r="DO25" s="55"/>
      <c r="DP25" s="55"/>
      <c r="DQ25" s="55"/>
      <c r="DR25" s="55"/>
      <c r="DS25" s="55"/>
      <c r="DT25" s="55"/>
      <c r="DU25" s="55"/>
      <c r="DV25" s="55"/>
      <c r="DW25" s="55"/>
      <c r="DX25" s="55"/>
      <c r="DY25" s="55"/>
      <c r="DZ25" s="55"/>
      <c r="EA25" s="55"/>
      <c r="EB25" s="55"/>
      <c r="EC25" s="55"/>
      <c r="ED25" s="55"/>
      <c r="EE25" s="55"/>
      <c r="EF25" s="55"/>
      <c r="EG25" s="55"/>
      <c r="EH25" s="55"/>
      <c r="EI25" s="55"/>
      <c r="EJ25" s="55"/>
      <c r="EK25" s="55"/>
      <c r="EL25" s="55"/>
      <c r="EM25" s="55"/>
      <c r="EN25" s="55"/>
      <c r="EO25" s="55"/>
      <c r="EP25" s="55"/>
      <c r="EQ25" s="55"/>
      <c r="ER25" s="55"/>
      <c r="ES25" s="55"/>
      <c r="ET25" s="55"/>
      <c r="EU25" s="55"/>
      <c r="EV25" s="55"/>
      <c r="EW25" s="55"/>
      <c r="EX25" s="55"/>
      <c r="EY25" s="55"/>
      <c r="EZ25" s="55"/>
      <c r="FA25" s="55"/>
      <c r="FB25" s="55"/>
      <c r="FC25" s="55"/>
      <c r="FD25" s="55"/>
      <c r="FE25" s="55"/>
      <c r="FF25" s="55"/>
      <c r="FG25" s="55"/>
      <c r="FH25" s="55"/>
      <c r="FI25" s="55"/>
      <c r="FJ25" s="55"/>
      <c r="FK25" s="55"/>
      <c r="FL25" s="55"/>
      <c r="FM25" s="55"/>
      <c r="FN25" s="55"/>
      <c r="FO25" s="55"/>
      <c r="FP25" s="55"/>
      <c r="FQ25" s="55"/>
      <c r="FR25" s="55"/>
      <c r="FS25" s="55"/>
      <c r="FT25" s="55"/>
      <c r="FU25" s="55"/>
      <c r="FV25" s="55"/>
      <c r="FW25" s="55"/>
    </row>
    <row r="26" spans="1:179" s="57" customFormat="1" ht="9.75" customHeight="1" x14ac:dyDescent="0.15">
      <c r="A26" s="468" t="s">
        <v>149</v>
      </c>
      <c r="B26" s="213">
        <v>0.01</v>
      </c>
      <c r="C26" s="214">
        <v>0.02</v>
      </c>
      <c r="D26" s="431">
        <v>0</v>
      </c>
      <c r="E26" s="430">
        <v>0</v>
      </c>
      <c r="F26" s="215">
        <v>0</v>
      </c>
      <c r="G26" s="216">
        <v>0</v>
      </c>
      <c r="H26" s="223">
        <v>0</v>
      </c>
      <c r="I26" s="223">
        <v>0</v>
      </c>
      <c r="J26" s="217">
        <f t="shared" si="97"/>
        <v>0</v>
      </c>
      <c r="K26" s="493">
        <f>SUM(IF((0*(IF(ISBLANK(E26),C26,E26)))+IF(ISBLANK(D26),B26,D26) &lt; 0, 0, (0*(IF(ISBLANK(E26),C26,E26)))+IF(ISBLANK(D26),B26,D26)))</f>
        <v>0</v>
      </c>
      <c r="L26" s="493">
        <f>SUM(IF((1*(IF(ISBLANK(E26),C26,E26)))+IF(ISBLANK(D26),B26,D26) &lt; 0, 0, (1*(IF(ISBLANK(E26),C26,E26)))+IF(ISBLANK(D26),B26,D26)))</f>
        <v>0</v>
      </c>
      <c r="M26" s="493">
        <f>SUM(IF((2*(IF(ISBLANK(E26),C26,E26)))+IF(ISBLANK(D26),B26,D26) &lt; 0, 0, (2*(IF(ISBLANK(E26),C26,E26)))+IF(ISBLANK(D26),B26,D26)))</f>
        <v>0</v>
      </c>
      <c r="N26" s="493">
        <f>SUM(IF((3*(IF(ISBLANK(E26),C26,E26)))+IF(ISBLANK(D26),B26,D26) &lt; 0, 0, (3*(IF(ISBLANK(E26),C26,E26)))+IF(ISBLANK(D26),B26,D26)))</f>
        <v>0</v>
      </c>
      <c r="O26" s="217">
        <f t="shared" si="91"/>
        <v>0</v>
      </c>
      <c r="P26" s="493">
        <f>SUM(IF((4*(IF(ISBLANK(E26),C26,E26)))+IF(ISBLANK(D26),B26,D26) &lt; 0, 0, (4*(IF(ISBLANK(E26),C26,E26)))+IF(ISBLANK(D26),B26,D26)))</f>
        <v>0</v>
      </c>
      <c r="Q26" s="493">
        <f>SUM(IF((5*(IF(ISBLANK(E26),C26,E26)))+IF(ISBLANK(D26),B26,D26) &lt; 0, 0, (5*(IF(ISBLANK(E26),C26,E26)))+IF(ISBLANK(D26),B26,D26)))</f>
        <v>0</v>
      </c>
      <c r="R26" s="493">
        <f>SUM(IF((6*(IF(ISBLANK(E26),C26,E26)))+IF(ISBLANK(D26),B26,D26) &lt; 0, 0, (6*(IF(ISBLANK(E26),C26,E26)))+IF(ISBLANK(D26),B26,D26)))</f>
        <v>0</v>
      </c>
      <c r="S26" s="493">
        <f>SUM(IF((7*(IF(ISBLANK(E26),C26,E26)))+IF(ISBLANK(D26),B26,D26) &lt; 0, 0, (7*(IF(ISBLANK(E26),C26,E26)))+IF(ISBLANK(D26),B26,D26)))</f>
        <v>0</v>
      </c>
      <c r="T26" s="218">
        <f t="shared" si="96"/>
        <v>0</v>
      </c>
      <c r="U26" s="247"/>
      <c r="V26" s="417">
        <f>SUM(IF((9*(IF(ISBLANK(E26),C26,E26)))+IF(ISBLANK(D26),B26,D26) &lt; 0, 0, (9*(IF(ISBLANK(E26),C26,E26)))+IF(ISBLANK(D26),B26,D26)))*12</f>
        <v>0</v>
      </c>
      <c r="W26" s="407">
        <f>SUM(IF((11*(IF(ISBLANK(E26),C26,E26)))+IF(ISBLANK(D26),B26,D26) &lt; 0, 0, (11*(IF(ISBLANK(E26),C26,E26)))+IF(ISBLANK(D26),B26,D26)))*12</f>
        <v>0</v>
      </c>
      <c r="X26" s="554">
        <f>SUM(IF((13*(IF(ISBLANK(E26),C26,E26)))+IF(ISBLANK(D26),B26,D26) &lt; 0, 0, (13*(IF(ISBLANK(E26),C26,E26)))+IF(ISBLANK(D26),B26,D26)))*12</f>
        <v>0</v>
      </c>
      <c r="Y26" s="221"/>
      <c r="Z26" s="578">
        <v>0</v>
      </c>
      <c r="AA26" s="617"/>
      <c r="AB26" s="532">
        <f>SUM(AB18*F26)</f>
        <v>0</v>
      </c>
      <c r="AC26" s="492">
        <f>SUM(AC18*F26)</f>
        <v>0</v>
      </c>
      <c r="AD26" s="492">
        <f>SUM(AD18*F26)</f>
        <v>0</v>
      </c>
      <c r="AE26" s="492">
        <f t="shared" si="70"/>
        <v>0</v>
      </c>
      <c r="AF26" s="222"/>
      <c r="AG26" s="532">
        <f>SUM(AG18*G26)</f>
        <v>0</v>
      </c>
      <c r="AH26" s="492">
        <f>SUM(AH18*G26)</f>
        <v>0</v>
      </c>
      <c r="AI26" s="492">
        <f>SUM(AI18*G26)</f>
        <v>0</v>
      </c>
      <c r="AJ26" s="492">
        <f t="shared" si="71"/>
        <v>0</v>
      </c>
      <c r="AK26" s="222"/>
      <c r="AL26" s="532">
        <f t="shared" si="72"/>
        <v>0</v>
      </c>
      <c r="AM26" s="492">
        <f t="shared" si="73"/>
        <v>0</v>
      </c>
      <c r="AN26" s="492">
        <f t="shared" si="74"/>
        <v>0</v>
      </c>
      <c r="AO26" s="492">
        <f t="shared" si="75"/>
        <v>0</v>
      </c>
      <c r="AP26" s="222"/>
      <c r="AQ26" s="532">
        <f>SUM(AQ18*I26)</f>
        <v>0</v>
      </c>
      <c r="AR26" s="492">
        <f>SUM(AR18*I26)</f>
        <v>0</v>
      </c>
      <c r="AS26" s="492">
        <f>SUM(AS18*I26)</f>
        <v>0</v>
      </c>
      <c r="AT26" s="492">
        <f t="shared" si="76"/>
        <v>0</v>
      </c>
      <c r="AU26" s="222"/>
      <c r="AV26" s="617"/>
      <c r="AW26" s="532">
        <f>SUM(AW18*K26)</f>
        <v>0</v>
      </c>
      <c r="AX26" s="492">
        <f>SUM(AX18*K26)</f>
        <v>0</v>
      </c>
      <c r="AY26" s="492">
        <f>SUM(AY18*K26)</f>
        <v>0</v>
      </c>
      <c r="AZ26" s="492">
        <f t="shared" si="77"/>
        <v>0</v>
      </c>
      <c r="BA26" s="222"/>
      <c r="BB26" s="532">
        <f>SUM(BB18*L26)</f>
        <v>0</v>
      </c>
      <c r="BC26" s="492">
        <f>SUM(BC18*L26)</f>
        <v>0</v>
      </c>
      <c r="BD26" s="492">
        <f>SUM(BD18*L26)</f>
        <v>0</v>
      </c>
      <c r="BE26" s="492">
        <f t="shared" si="78"/>
        <v>0</v>
      </c>
      <c r="BF26" s="222"/>
      <c r="BG26" s="532">
        <f>SUM(BG18*M26)</f>
        <v>0</v>
      </c>
      <c r="BH26" s="492">
        <f>SUM(BH18*M26)</f>
        <v>0</v>
      </c>
      <c r="BI26" s="492">
        <f>SUM(BI18*M26)</f>
        <v>0</v>
      </c>
      <c r="BJ26" s="492">
        <f t="shared" si="79"/>
        <v>0</v>
      </c>
      <c r="BK26" s="222"/>
      <c r="BL26" s="532">
        <f>SUM(BL18*N26)</f>
        <v>0</v>
      </c>
      <c r="BM26" s="492">
        <f>SUM(BM18*N26)</f>
        <v>0</v>
      </c>
      <c r="BN26" s="492">
        <f>SUM(BN18*N26)</f>
        <v>0</v>
      </c>
      <c r="BO26" s="492">
        <f t="shared" si="80"/>
        <v>0</v>
      </c>
      <c r="BP26" s="222"/>
      <c r="BQ26" s="221"/>
      <c r="BR26" s="532">
        <f>SUM(BR18*P26)</f>
        <v>0</v>
      </c>
      <c r="BS26" s="492">
        <f>SUM(BS18*P26)</f>
        <v>0</v>
      </c>
      <c r="BT26" s="492">
        <f>SUM(BT18*P26)</f>
        <v>0</v>
      </c>
      <c r="BU26" s="492">
        <f t="shared" si="81"/>
        <v>0</v>
      </c>
      <c r="BV26" s="222"/>
      <c r="BW26" s="532">
        <f>SUM(BW18*Q26)</f>
        <v>0</v>
      </c>
      <c r="BX26" s="492">
        <f>SUM(BX18*Q26)</f>
        <v>0</v>
      </c>
      <c r="BY26" s="492">
        <f>SUM(BY18*Q26)</f>
        <v>0</v>
      </c>
      <c r="BZ26" s="492">
        <f t="shared" si="82"/>
        <v>0</v>
      </c>
      <c r="CA26" s="222"/>
      <c r="CB26" s="532">
        <f>SUM(CB18*R26)</f>
        <v>0</v>
      </c>
      <c r="CC26" s="492">
        <f>SUM(CC18*R26)</f>
        <v>0</v>
      </c>
      <c r="CD26" s="492">
        <f>SUM(CD18*R26)</f>
        <v>0</v>
      </c>
      <c r="CE26" s="492">
        <f t="shared" si="83"/>
        <v>0</v>
      </c>
      <c r="CF26" s="222"/>
      <c r="CG26" s="532">
        <f>SUM(CG18*S26)</f>
        <v>0</v>
      </c>
      <c r="CH26" s="492">
        <f>SUM(CH18*S26)</f>
        <v>0</v>
      </c>
      <c r="CI26" s="492">
        <f>SUM(CI18*S26)</f>
        <v>0</v>
      </c>
      <c r="CJ26" s="492">
        <f t="shared" si="84"/>
        <v>0</v>
      </c>
      <c r="CK26" s="222"/>
      <c r="CL26" s="55"/>
      <c r="CM26" s="55"/>
      <c r="CN26" s="55"/>
      <c r="CO26" s="55"/>
      <c r="CP26" s="55"/>
      <c r="CQ26" s="55"/>
      <c r="CR26" s="55"/>
      <c r="CS26" s="55"/>
      <c r="CT26" s="55"/>
      <c r="CU26" s="55"/>
      <c r="CV26" s="55"/>
      <c r="CW26" s="55"/>
      <c r="CX26" s="55"/>
      <c r="CY26" s="55"/>
      <c r="CZ26" s="55"/>
      <c r="DA26" s="55"/>
      <c r="DB26" s="55"/>
      <c r="DC26" s="55"/>
      <c r="DD26" s="55"/>
      <c r="DE26" s="55"/>
      <c r="DF26" s="55"/>
      <c r="DG26" s="55"/>
      <c r="DH26" s="55"/>
      <c r="DI26" s="55"/>
      <c r="DJ26" s="55"/>
      <c r="DK26" s="55"/>
      <c r="DL26" s="55"/>
      <c r="DM26" s="55"/>
      <c r="DN26" s="55"/>
      <c r="DO26" s="55"/>
      <c r="DP26" s="55"/>
      <c r="DQ26" s="55"/>
      <c r="DR26" s="55"/>
      <c r="DS26" s="55"/>
      <c r="DT26" s="55"/>
      <c r="DU26" s="55"/>
      <c r="DV26" s="55"/>
      <c r="DW26" s="55"/>
      <c r="DX26" s="55"/>
      <c r="DY26" s="55"/>
      <c r="DZ26" s="55"/>
      <c r="EA26" s="55"/>
      <c r="EB26" s="55"/>
      <c r="EC26" s="55"/>
      <c r="ED26" s="55"/>
      <c r="EE26" s="55"/>
      <c r="EF26" s="55"/>
      <c r="EG26" s="55"/>
      <c r="EH26" s="55"/>
      <c r="EI26" s="55"/>
      <c r="EJ26" s="55"/>
      <c r="EK26" s="55"/>
      <c r="EL26" s="55"/>
      <c r="EM26" s="55"/>
      <c r="EN26" s="55"/>
      <c r="EO26" s="55"/>
      <c r="EP26" s="55"/>
      <c r="EQ26" s="55"/>
      <c r="ER26" s="55"/>
      <c r="ES26" s="55"/>
      <c r="ET26" s="55"/>
      <c r="EU26" s="55"/>
      <c r="EV26" s="55"/>
      <c r="EW26" s="55"/>
      <c r="EX26" s="55"/>
      <c r="EY26" s="55"/>
      <c r="EZ26" s="55"/>
      <c r="FA26" s="55"/>
      <c r="FB26" s="55"/>
      <c r="FC26" s="55"/>
      <c r="FD26" s="55"/>
      <c r="FE26" s="55"/>
      <c r="FF26" s="55"/>
      <c r="FG26" s="55"/>
      <c r="FH26" s="55"/>
      <c r="FI26" s="55"/>
      <c r="FJ26" s="55"/>
      <c r="FK26" s="55"/>
      <c r="FL26" s="55"/>
      <c r="FM26" s="55"/>
      <c r="FN26" s="55"/>
      <c r="FO26" s="55"/>
      <c r="FP26" s="55"/>
      <c r="FQ26" s="55"/>
      <c r="FR26" s="55"/>
      <c r="FS26" s="55"/>
      <c r="FT26" s="55"/>
      <c r="FU26" s="55"/>
      <c r="FV26" s="55"/>
      <c r="FW26" s="55"/>
    </row>
    <row r="27" spans="1:179" s="57" customFormat="1" ht="9.75" customHeight="1" x14ac:dyDescent="0.15">
      <c r="A27" s="468" t="s">
        <v>150</v>
      </c>
      <c r="B27" s="213">
        <v>0</v>
      </c>
      <c r="C27" s="214">
        <v>0</v>
      </c>
      <c r="D27" s="224"/>
      <c r="E27" s="225"/>
      <c r="F27" s="215">
        <v>0</v>
      </c>
      <c r="G27" s="216">
        <v>0</v>
      </c>
      <c r="H27" s="223">
        <v>0</v>
      </c>
      <c r="I27" s="223">
        <v>0</v>
      </c>
      <c r="J27" s="217">
        <f t="shared" si="97"/>
        <v>0</v>
      </c>
      <c r="K27" s="223">
        <v>0</v>
      </c>
      <c r="L27" s="223">
        <v>0</v>
      </c>
      <c r="M27" s="223">
        <v>0</v>
      </c>
      <c r="N27" s="223">
        <v>0</v>
      </c>
      <c r="O27" s="217">
        <f t="shared" si="91"/>
        <v>0</v>
      </c>
      <c r="P27" s="493">
        <f>SUM(IF((0*(IF(ISBLANK(E27),C27,E27)))+IF(ISBLANK(D27),B27,D27) &lt; 0, 0, (0*(IF(ISBLANK(E27),C27,E27)))+IF(ISBLANK(D27),B27,D27)))</f>
        <v>0</v>
      </c>
      <c r="Q27" s="493">
        <f>SUM(IF((1*(IF(ISBLANK(E27),C27,E27)))+IF(ISBLANK(D27),B27,D27) &lt; 0, 0, (1*(IF(ISBLANK(E27),C27,E27)))+IF(ISBLANK(D27),B27,D27)))</f>
        <v>0</v>
      </c>
      <c r="R27" s="493">
        <f>SUM(IF((2*(IF(ISBLANK(E27),C27,E27)))+IF(ISBLANK(D27),B27,D27) &lt; 0, 0, (2*(IF(ISBLANK(E27),C27,E27)))+IF(ISBLANK(D27),B27,D27)))</f>
        <v>0</v>
      </c>
      <c r="S27" s="493">
        <f>SUM(IF((3*(IF(ISBLANK(E27),C27,E27)))+IF(ISBLANK(D27),B27,D27) &lt; 0, 0, (3*(IF(ISBLANK(E27),C27,E27)))+IF(ISBLANK(D27),B27,D27)))</f>
        <v>0</v>
      </c>
      <c r="T27" s="218">
        <f t="shared" si="96"/>
        <v>0</v>
      </c>
      <c r="U27" s="247"/>
      <c r="V27" s="417">
        <f>SUM(IF((5*(IF(ISBLANK(E27),C27,E27)))+IF(ISBLANK(D27),B27,D27) &lt; 0, 0, (5*(IF(ISBLANK(E27),C27,E27)))+IF(ISBLANK(D27),B27,D27)))*12</f>
        <v>0</v>
      </c>
      <c r="W27" s="407">
        <f>SUM(IF((7*(IF(ISBLANK(E27),C27,E27)))+IF(ISBLANK(D27),B27,D27) &lt; 0, 0, (7*(IF(ISBLANK(E27),C27,E27)))+IF(ISBLANK(D27),B27,D27)))*12</f>
        <v>0</v>
      </c>
      <c r="X27" s="554">
        <f>SUM(IF((9*(IF(ISBLANK(E27),C27,E27)))+IF(ISBLANK(D27),B27,D27) &lt; 0, 0, (9*(IF(ISBLANK(E27),C27,E27)))+IF(ISBLANK(D27),B27,D27)))*12</f>
        <v>0</v>
      </c>
      <c r="Y27" s="221"/>
      <c r="Z27" s="578">
        <v>0</v>
      </c>
      <c r="AA27" s="617"/>
      <c r="AB27" s="532">
        <f>SUM(AB18*F27)</f>
        <v>0</v>
      </c>
      <c r="AC27" s="492">
        <f>SUM(AC18*F27)</f>
        <v>0</v>
      </c>
      <c r="AD27" s="492">
        <f>SUM(AD18*F27)</f>
        <v>0</v>
      </c>
      <c r="AE27" s="492">
        <f t="shared" si="70"/>
        <v>0</v>
      </c>
      <c r="AF27" s="222"/>
      <c r="AG27" s="532">
        <f>SUM(AG18*G27)</f>
        <v>0</v>
      </c>
      <c r="AH27" s="492">
        <f>SUM(AH18*G27)</f>
        <v>0</v>
      </c>
      <c r="AI27" s="492">
        <f>SUM(AI18*G27)</f>
        <v>0</v>
      </c>
      <c r="AJ27" s="492">
        <f t="shared" si="71"/>
        <v>0</v>
      </c>
      <c r="AK27" s="222"/>
      <c r="AL27" s="532">
        <f t="shared" si="72"/>
        <v>0</v>
      </c>
      <c r="AM27" s="492">
        <f t="shared" si="73"/>
        <v>0</v>
      </c>
      <c r="AN27" s="492">
        <f t="shared" si="74"/>
        <v>0</v>
      </c>
      <c r="AO27" s="492">
        <f t="shared" si="75"/>
        <v>0</v>
      </c>
      <c r="AP27" s="222"/>
      <c r="AQ27" s="532">
        <f>SUM(AQ18*I27)</f>
        <v>0</v>
      </c>
      <c r="AR27" s="492">
        <f>SUM(AR18*I27)</f>
        <v>0</v>
      </c>
      <c r="AS27" s="492">
        <f>SUM(AS18*I27)</f>
        <v>0</v>
      </c>
      <c r="AT27" s="492">
        <f t="shared" si="76"/>
        <v>0</v>
      </c>
      <c r="AU27" s="222"/>
      <c r="AV27" s="617"/>
      <c r="AW27" s="532">
        <f>SUM(AW18*K27)</f>
        <v>0</v>
      </c>
      <c r="AX27" s="492">
        <f>SUM(AX18*K27)</f>
        <v>0</v>
      </c>
      <c r="AY27" s="492">
        <f>SUM(AY18*K27)</f>
        <v>0</v>
      </c>
      <c r="AZ27" s="492">
        <f t="shared" si="77"/>
        <v>0</v>
      </c>
      <c r="BA27" s="222"/>
      <c r="BB27" s="532">
        <f>SUM(BB18*L27)</f>
        <v>0</v>
      </c>
      <c r="BC27" s="492">
        <f>SUM(BC18*L27)</f>
        <v>0</v>
      </c>
      <c r="BD27" s="492">
        <f>SUM(BD18*L27)</f>
        <v>0</v>
      </c>
      <c r="BE27" s="492">
        <f t="shared" si="78"/>
        <v>0</v>
      </c>
      <c r="BF27" s="222"/>
      <c r="BG27" s="532">
        <f>SUM(BG18*M27)</f>
        <v>0</v>
      </c>
      <c r="BH27" s="492">
        <f>SUM(BH18*M27)</f>
        <v>0</v>
      </c>
      <c r="BI27" s="492">
        <f>SUM(BI18*M27)</f>
        <v>0</v>
      </c>
      <c r="BJ27" s="492">
        <f t="shared" si="79"/>
        <v>0</v>
      </c>
      <c r="BK27" s="222"/>
      <c r="BL27" s="532">
        <f>SUM(BL18*N27)</f>
        <v>0</v>
      </c>
      <c r="BM27" s="492">
        <f>SUM(BM18*N27)</f>
        <v>0</v>
      </c>
      <c r="BN27" s="492">
        <f>SUM(BN18*N27)</f>
        <v>0</v>
      </c>
      <c r="BO27" s="492">
        <f t="shared" si="80"/>
        <v>0</v>
      </c>
      <c r="BP27" s="222"/>
      <c r="BQ27" s="221"/>
      <c r="BR27" s="532">
        <f>SUM(BR18*P27)</f>
        <v>0</v>
      </c>
      <c r="BS27" s="492">
        <f>SUM(BS18*P27)</f>
        <v>0</v>
      </c>
      <c r="BT27" s="492">
        <f>SUM(BT18*P27)</f>
        <v>0</v>
      </c>
      <c r="BU27" s="492">
        <f t="shared" si="81"/>
        <v>0</v>
      </c>
      <c r="BV27" s="222"/>
      <c r="BW27" s="532">
        <f>SUM(BW18*Q27)</f>
        <v>0</v>
      </c>
      <c r="BX27" s="492">
        <f>SUM(BX18*Q27)</f>
        <v>0</v>
      </c>
      <c r="BY27" s="492">
        <f>SUM(BY18*Q27)</f>
        <v>0</v>
      </c>
      <c r="BZ27" s="492">
        <f t="shared" si="82"/>
        <v>0</v>
      </c>
      <c r="CA27" s="222"/>
      <c r="CB27" s="532">
        <f>SUM(CB18*R27)</f>
        <v>0</v>
      </c>
      <c r="CC27" s="492">
        <f>SUM(CC18*R27)</f>
        <v>0</v>
      </c>
      <c r="CD27" s="492">
        <f>SUM(CD18*R27)</f>
        <v>0</v>
      </c>
      <c r="CE27" s="492">
        <f t="shared" si="83"/>
        <v>0</v>
      </c>
      <c r="CF27" s="222"/>
      <c r="CG27" s="532">
        <f>SUM(CG18*S27)</f>
        <v>0</v>
      </c>
      <c r="CH27" s="492">
        <f>SUM(CH18*S27)</f>
        <v>0</v>
      </c>
      <c r="CI27" s="492">
        <f>SUM(CI18*S27)</f>
        <v>0</v>
      </c>
      <c r="CJ27" s="492">
        <f t="shared" si="84"/>
        <v>0</v>
      </c>
      <c r="CK27" s="222"/>
      <c r="CL27" s="55"/>
      <c r="CM27" s="55"/>
      <c r="CN27" s="55"/>
      <c r="CO27" s="55"/>
      <c r="CP27" s="55"/>
      <c r="CQ27" s="55"/>
      <c r="CR27" s="55"/>
      <c r="CS27" s="55"/>
      <c r="CT27" s="55"/>
      <c r="CU27" s="55"/>
      <c r="CV27" s="55"/>
      <c r="CW27" s="55"/>
      <c r="CX27" s="55"/>
      <c r="CY27" s="55"/>
      <c r="CZ27" s="55"/>
      <c r="DA27" s="55"/>
      <c r="DB27" s="55"/>
      <c r="DC27" s="55"/>
      <c r="DD27" s="55"/>
      <c r="DE27" s="55"/>
      <c r="DF27" s="55"/>
      <c r="DG27" s="55"/>
      <c r="DH27" s="55"/>
      <c r="DI27" s="55"/>
      <c r="DJ27" s="55"/>
      <c r="DK27" s="55"/>
      <c r="DL27" s="55"/>
      <c r="DM27" s="55"/>
      <c r="DN27" s="55"/>
      <c r="DO27" s="55"/>
      <c r="DP27" s="55"/>
      <c r="DQ27" s="55"/>
      <c r="DR27" s="55"/>
      <c r="DS27" s="55"/>
      <c r="DT27" s="55"/>
      <c r="DU27" s="55"/>
      <c r="DV27" s="55"/>
      <c r="DW27" s="55"/>
      <c r="DX27" s="55"/>
      <c r="DY27" s="55"/>
      <c r="DZ27" s="55"/>
      <c r="EA27" s="55"/>
      <c r="EB27" s="55"/>
      <c r="EC27" s="55"/>
      <c r="ED27" s="55"/>
      <c r="EE27" s="55"/>
      <c r="EF27" s="55"/>
      <c r="EG27" s="55"/>
      <c r="EH27" s="55"/>
      <c r="EI27" s="55"/>
      <c r="EJ27" s="55"/>
      <c r="EK27" s="55"/>
      <c r="EL27" s="55"/>
      <c r="EM27" s="55"/>
      <c r="EN27" s="55"/>
      <c r="EO27" s="55"/>
      <c r="EP27" s="55"/>
      <c r="EQ27" s="55"/>
      <c r="ER27" s="55"/>
      <c r="ES27" s="55"/>
      <c r="ET27" s="55"/>
      <c r="EU27" s="55"/>
      <c r="EV27" s="55"/>
      <c r="EW27" s="55"/>
      <c r="EX27" s="55"/>
      <c r="EY27" s="55"/>
      <c r="EZ27" s="55"/>
      <c r="FA27" s="55"/>
      <c r="FB27" s="55"/>
      <c r="FC27" s="55"/>
      <c r="FD27" s="55"/>
      <c r="FE27" s="55"/>
      <c r="FF27" s="55"/>
      <c r="FG27" s="55"/>
      <c r="FH27" s="55"/>
      <c r="FI27" s="55"/>
      <c r="FJ27" s="55"/>
      <c r="FK27" s="55"/>
      <c r="FL27" s="55"/>
      <c r="FM27" s="55"/>
      <c r="FN27" s="55"/>
      <c r="FO27" s="55"/>
      <c r="FP27" s="55"/>
      <c r="FQ27" s="55"/>
      <c r="FR27" s="55"/>
      <c r="FS27" s="55"/>
      <c r="FT27" s="55"/>
      <c r="FU27" s="55"/>
      <c r="FV27" s="55"/>
      <c r="FW27" s="55"/>
    </row>
    <row r="28" spans="1:179" s="57" customFormat="1" ht="9.75" customHeight="1" x14ac:dyDescent="0.15">
      <c r="A28" s="468" t="s">
        <v>151</v>
      </c>
      <c r="B28" s="213">
        <v>0</v>
      </c>
      <c r="C28" s="214">
        <v>0</v>
      </c>
      <c r="D28" s="224"/>
      <c r="E28" s="225"/>
      <c r="F28" s="215">
        <v>0</v>
      </c>
      <c r="G28" s="216">
        <v>0</v>
      </c>
      <c r="H28" s="223">
        <v>0</v>
      </c>
      <c r="I28" s="223">
        <v>0</v>
      </c>
      <c r="J28" s="217">
        <f t="shared" si="97"/>
        <v>0</v>
      </c>
      <c r="K28" s="223">
        <v>0</v>
      </c>
      <c r="L28" s="223">
        <v>0</v>
      </c>
      <c r="M28" s="223">
        <v>0</v>
      </c>
      <c r="N28" s="223">
        <v>0</v>
      </c>
      <c r="O28" s="217">
        <f t="shared" si="91"/>
        <v>0</v>
      </c>
      <c r="P28" s="493">
        <f>SUM(IF((1*(IF(ISBLANK(E28),C28,E28)))+IF(ISBLANK(D28),B28,D28) &lt; 0, 0, (1*(IF(ISBLANK(E28),C28,E28)))+IF(ISBLANK(D28),B28,D28)))</f>
        <v>0</v>
      </c>
      <c r="Q28" s="493">
        <f>SUM(IF((2*(IF(ISBLANK(E28),C28,E28)))+IF(ISBLANK(D28),B28,D28) &lt; 0, 0, (2*(IF(ISBLANK(E28),C28,E28)))+IF(ISBLANK(D28),B28,D28)))</f>
        <v>0</v>
      </c>
      <c r="R28" s="493">
        <f>SUM(IF((3*(IF(ISBLANK(E28),C28,E28)))+IF(ISBLANK(D28),B28,D28) &lt; 0, 0, (3*(IF(ISBLANK(E28),C28,E28)))+IF(ISBLANK(D28),B28,D28)))</f>
        <v>0</v>
      </c>
      <c r="S28" s="493">
        <f>SUM(IF((4*(IF(ISBLANK(E28),C28,E28)))+IF(ISBLANK(D28),B28,D28) &lt; 0, 0, (4*(IF(ISBLANK(E28),C28,E28)))+IF(ISBLANK(D28),B28,D28)))</f>
        <v>0</v>
      </c>
      <c r="T28" s="218">
        <f t="shared" si="96"/>
        <v>0</v>
      </c>
      <c r="U28" s="247"/>
      <c r="V28" s="417">
        <f>SUM(IF((6*(IF(ISBLANK(E28),C28,E28)))+IF(ISBLANK(D28),B28,D28) &lt; 0, 0, (6*(IF(ISBLANK(E28),C28,E28)))+IF(ISBLANK(D28),B28,D28)))*12</f>
        <v>0</v>
      </c>
      <c r="W28" s="407">
        <f>SUM(IF((8*(IF(ISBLANK(E28),C28,E28)))+IF(ISBLANK(D28),B28,D28) &lt; 0, 0, (8*(IF(ISBLANK(E28),C28,E28)))+IF(ISBLANK(D28),B28,D28)))*12</f>
        <v>0</v>
      </c>
      <c r="X28" s="554">
        <f>SUM(IF((10*(IF(ISBLANK(E28),C28,E28)))+IF(ISBLANK(D28),B28,D28) &lt; 0, 0, (10*(IF(ISBLANK(E28),C28,E28)))+IF(ISBLANK(D28),B28,D28)))*12</f>
        <v>0</v>
      </c>
      <c r="Y28" s="221"/>
      <c r="Z28" s="578">
        <v>0</v>
      </c>
      <c r="AA28" s="617"/>
      <c r="AB28" s="532">
        <f>SUM(AB18*F28)</f>
        <v>0</v>
      </c>
      <c r="AC28" s="492">
        <f>SUM(AC18*F28)</f>
        <v>0</v>
      </c>
      <c r="AD28" s="492">
        <f>SUM(AD18*F28)</f>
        <v>0</v>
      </c>
      <c r="AE28" s="492">
        <f t="shared" si="70"/>
        <v>0</v>
      </c>
      <c r="AF28" s="222"/>
      <c r="AG28" s="532">
        <f>SUM(AG18*G28)</f>
        <v>0</v>
      </c>
      <c r="AH28" s="492">
        <f>SUM(AH18*G28)</f>
        <v>0</v>
      </c>
      <c r="AI28" s="492">
        <f>SUM(AI18*G28)</f>
        <v>0</v>
      </c>
      <c r="AJ28" s="492">
        <f t="shared" si="71"/>
        <v>0</v>
      </c>
      <c r="AK28" s="222"/>
      <c r="AL28" s="532">
        <f t="shared" si="72"/>
        <v>0</v>
      </c>
      <c r="AM28" s="492">
        <f t="shared" si="73"/>
        <v>0</v>
      </c>
      <c r="AN28" s="492">
        <f t="shared" si="74"/>
        <v>0</v>
      </c>
      <c r="AO28" s="492">
        <f t="shared" si="75"/>
        <v>0</v>
      </c>
      <c r="AP28" s="222"/>
      <c r="AQ28" s="532">
        <f>SUM(AQ18*I28)</f>
        <v>0</v>
      </c>
      <c r="AR28" s="492">
        <f>SUM(AR18*I28)</f>
        <v>0</v>
      </c>
      <c r="AS28" s="492">
        <f>SUM(AS18*I28)</f>
        <v>0</v>
      </c>
      <c r="AT28" s="492">
        <f t="shared" si="76"/>
        <v>0</v>
      </c>
      <c r="AU28" s="222"/>
      <c r="AV28" s="617"/>
      <c r="AW28" s="532">
        <f>SUM(AW18*K28)</f>
        <v>0</v>
      </c>
      <c r="AX28" s="492">
        <f>SUM(AX18*K28)</f>
        <v>0</v>
      </c>
      <c r="AY28" s="492">
        <f>SUM(AY18*K28)</f>
        <v>0</v>
      </c>
      <c r="AZ28" s="492">
        <f t="shared" si="77"/>
        <v>0</v>
      </c>
      <c r="BA28" s="222"/>
      <c r="BB28" s="532">
        <f>SUM(BB18*L28)</f>
        <v>0</v>
      </c>
      <c r="BC28" s="492">
        <f>SUM(BC18*L28)</f>
        <v>0</v>
      </c>
      <c r="BD28" s="492">
        <f>SUM(BD18*L28)</f>
        <v>0</v>
      </c>
      <c r="BE28" s="492">
        <f t="shared" si="78"/>
        <v>0</v>
      </c>
      <c r="BF28" s="222"/>
      <c r="BG28" s="532">
        <f>SUM(BG18*M28)</f>
        <v>0</v>
      </c>
      <c r="BH28" s="492">
        <f>SUM(BH18*M28)</f>
        <v>0</v>
      </c>
      <c r="BI28" s="492">
        <f>SUM(BI18*M28)</f>
        <v>0</v>
      </c>
      <c r="BJ28" s="492">
        <f t="shared" si="79"/>
        <v>0</v>
      </c>
      <c r="BK28" s="222"/>
      <c r="BL28" s="532">
        <f>SUM(BL18*N28)</f>
        <v>0</v>
      </c>
      <c r="BM28" s="492">
        <f>SUM(BM18*N28)</f>
        <v>0</v>
      </c>
      <c r="BN28" s="492">
        <f>SUM(BN18*N28)</f>
        <v>0</v>
      </c>
      <c r="BO28" s="492">
        <f t="shared" si="80"/>
        <v>0</v>
      </c>
      <c r="BP28" s="222"/>
      <c r="BQ28" s="221"/>
      <c r="BR28" s="532">
        <f>SUM(BR18*P28)</f>
        <v>0</v>
      </c>
      <c r="BS28" s="492">
        <f>SUM(BS18*P28)</f>
        <v>0</v>
      </c>
      <c r="BT28" s="492">
        <f>SUM(BT18*P28)</f>
        <v>0</v>
      </c>
      <c r="BU28" s="492">
        <f t="shared" si="81"/>
        <v>0</v>
      </c>
      <c r="BV28" s="222"/>
      <c r="BW28" s="532">
        <f>SUM(BW18*Q28)</f>
        <v>0</v>
      </c>
      <c r="BX28" s="492">
        <f>SUM(BX18*Q28)</f>
        <v>0</v>
      </c>
      <c r="BY28" s="492">
        <f>SUM(BY18*Q28)</f>
        <v>0</v>
      </c>
      <c r="BZ28" s="492">
        <f t="shared" si="82"/>
        <v>0</v>
      </c>
      <c r="CA28" s="222"/>
      <c r="CB28" s="532">
        <f>SUM(CB18*R28)</f>
        <v>0</v>
      </c>
      <c r="CC28" s="492">
        <f>SUM(CC18*R28)</f>
        <v>0</v>
      </c>
      <c r="CD28" s="492">
        <f>SUM(CD18*R28)</f>
        <v>0</v>
      </c>
      <c r="CE28" s="492">
        <f t="shared" si="83"/>
        <v>0</v>
      </c>
      <c r="CF28" s="222"/>
      <c r="CG28" s="532">
        <f>SUM(CG18*S28)</f>
        <v>0</v>
      </c>
      <c r="CH28" s="492">
        <f>SUM(CH18*S28)</f>
        <v>0</v>
      </c>
      <c r="CI28" s="492">
        <f>SUM(CI18*S28)</f>
        <v>0</v>
      </c>
      <c r="CJ28" s="492">
        <f t="shared" si="84"/>
        <v>0</v>
      </c>
      <c r="CK28" s="222"/>
      <c r="CL28" s="55"/>
      <c r="CM28" s="55"/>
      <c r="CN28" s="55"/>
      <c r="CO28" s="55"/>
      <c r="CP28" s="55"/>
      <c r="CQ28" s="55"/>
      <c r="CR28" s="55"/>
      <c r="CS28" s="55"/>
      <c r="CT28" s="55"/>
      <c r="CU28" s="55"/>
      <c r="CV28" s="55"/>
      <c r="CW28" s="55"/>
      <c r="CX28" s="55"/>
      <c r="CY28" s="55"/>
      <c r="CZ28" s="55"/>
      <c r="DA28" s="55"/>
      <c r="DB28" s="55"/>
      <c r="DC28" s="55"/>
      <c r="DD28" s="55"/>
      <c r="DE28" s="55"/>
      <c r="DF28" s="55"/>
      <c r="DG28" s="55"/>
      <c r="DH28" s="55"/>
      <c r="DI28" s="55"/>
      <c r="DJ28" s="55"/>
      <c r="DK28" s="55"/>
      <c r="DL28" s="55"/>
      <c r="DM28" s="55"/>
      <c r="DN28" s="55"/>
      <c r="DO28" s="55"/>
      <c r="DP28" s="55"/>
      <c r="DQ28" s="55"/>
      <c r="DR28" s="55"/>
      <c r="DS28" s="55"/>
      <c r="DT28" s="55"/>
      <c r="DU28" s="55"/>
      <c r="DV28" s="55"/>
      <c r="DW28" s="55"/>
      <c r="DX28" s="55"/>
      <c r="DY28" s="55"/>
      <c r="DZ28" s="55"/>
      <c r="EA28" s="55"/>
      <c r="EB28" s="55"/>
      <c r="EC28" s="55"/>
      <c r="ED28" s="55"/>
      <c r="EE28" s="55"/>
      <c r="EF28" s="55"/>
      <c r="EG28" s="55"/>
      <c r="EH28" s="55"/>
      <c r="EI28" s="55"/>
      <c r="EJ28" s="55"/>
      <c r="EK28" s="55"/>
      <c r="EL28" s="55"/>
      <c r="EM28" s="55"/>
      <c r="EN28" s="55"/>
      <c r="EO28" s="55"/>
      <c r="EP28" s="55"/>
      <c r="EQ28" s="55"/>
      <c r="ER28" s="55"/>
      <c r="ES28" s="55"/>
      <c r="ET28" s="55"/>
      <c r="EU28" s="55"/>
      <c r="EV28" s="55"/>
      <c r="EW28" s="55"/>
      <c r="EX28" s="55"/>
      <c r="EY28" s="55"/>
      <c r="EZ28" s="55"/>
      <c r="FA28" s="55"/>
      <c r="FB28" s="55"/>
      <c r="FC28" s="55"/>
      <c r="FD28" s="55"/>
      <c r="FE28" s="55"/>
      <c r="FF28" s="55"/>
      <c r="FG28" s="55"/>
      <c r="FH28" s="55"/>
      <c r="FI28" s="55"/>
      <c r="FJ28" s="55"/>
      <c r="FK28" s="55"/>
      <c r="FL28" s="55"/>
      <c r="FM28" s="55"/>
      <c r="FN28" s="55"/>
      <c r="FO28" s="55"/>
      <c r="FP28" s="55"/>
      <c r="FQ28" s="55"/>
      <c r="FR28" s="55"/>
      <c r="FS28" s="55"/>
      <c r="FT28" s="55"/>
      <c r="FU28" s="55"/>
      <c r="FV28" s="55"/>
      <c r="FW28" s="55"/>
    </row>
    <row r="29" spans="1:179" s="57" customFormat="1" ht="9.75" customHeight="1" x14ac:dyDescent="0.15">
      <c r="A29" s="487" t="s">
        <v>152</v>
      </c>
      <c r="B29" s="672" t="s">
        <v>159</v>
      </c>
      <c r="C29" s="673"/>
      <c r="D29" s="672" t="s">
        <v>159</v>
      </c>
      <c r="E29" s="673"/>
      <c r="F29" s="226">
        <v>0</v>
      </c>
      <c r="G29" s="227">
        <v>0</v>
      </c>
      <c r="H29" s="227">
        <v>0</v>
      </c>
      <c r="I29" s="227">
        <v>0</v>
      </c>
      <c r="J29" s="217">
        <f t="shared" si="97"/>
        <v>0</v>
      </c>
      <c r="K29" s="227">
        <v>0</v>
      </c>
      <c r="L29" s="227">
        <v>0</v>
      </c>
      <c r="M29" s="227">
        <v>0</v>
      </c>
      <c r="N29" s="227">
        <v>0</v>
      </c>
      <c r="O29" s="217">
        <f t="shared" si="91"/>
        <v>0</v>
      </c>
      <c r="P29" s="227">
        <v>0</v>
      </c>
      <c r="Q29" s="227">
        <v>0</v>
      </c>
      <c r="R29" s="227">
        <v>0</v>
      </c>
      <c r="S29" s="227">
        <v>0</v>
      </c>
      <c r="T29" s="218">
        <f t="shared" si="96"/>
        <v>0</v>
      </c>
      <c r="U29" s="221"/>
      <c r="V29" s="555">
        <v>0</v>
      </c>
      <c r="W29" s="416">
        <v>0</v>
      </c>
      <c r="X29" s="556">
        <v>0</v>
      </c>
      <c r="Y29" s="221"/>
      <c r="Z29" s="578">
        <v>0</v>
      </c>
      <c r="AA29" s="617"/>
      <c r="AB29" s="532">
        <f>SUM(F29/3)</f>
        <v>0</v>
      </c>
      <c r="AC29" s="492">
        <f>SUM(F29/3)</f>
        <v>0</v>
      </c>
      <c r="AD29" s="492">
        <f>SUM(F29/3)</f>
        <v>0</v>
      </c>
      <c r="AE29" s="492">
        <f t="shared" si="70"/>
        <v>0</v>
      </c>
      <c r="AF29" s="222"/>
      <c r="AG29" s="532">
        <f>SUM(G29/3)</f>
        <v>0</v>
      </c>
      <c r="AH29" s="492">
        <f>SUM(G29/3)</f>
        <v>0</v>
      </c>
      <c r="AI29" s="492">
        <f>SUM(G29/3)</f>
        <v>0</v>
      </c>
      <c r="AJ29" s="492">
        <f t="shared" si="71"/>
        <v>0</v>
      </c>
      <c r="AK29" s="222"/>
      <c r="AL29" s="532">
        <f>SUM(H29/3)</f>
        <v>0</v>
      </c>
      <c r="AM29" s="492">
        <f>SUM(H29/3)</f>
        <v>0</v>
      </c>
      <c r="AN29" s="492">
        <f>SUM(H29/3)</f>
        <v>0</v>
      </c>
      <c r="AO29" s="492">
        <f t="shared" si="75"/>
        <v>0</v>
      </c>
      <c r="AP29" s="222"/>
      <c r="AQ29" s="532">
        <f>SUM(I29/3)</f>
        <v>0</v>
      </c>
      <c r="AR29" s="492">
        <f>SUM(I29/3)</f>
        <v>0</v>
      </c>
      <c r="AS29" s="492">
        <f>SUM(I29/3)</f>
        <v>0</v>
      </c>
      <c r="AT29" s="492">
        <f t="shared" si="76"/>
        <v>0</v>
      </c>
      <c r="AU29" s="222"/>
      <c r="AV29" s="617"/>
      <c r="AW29" s="532">
        <f>SUM(K29/3)</f>
        <v>0</v>
      </c>
      <c r="AX29" s="492">
        <f>SUM(K29/3)</f>
        <v>0</v>
      </c>
      <c r="AY29" s="492">
        <f>SUM(K29/3)</f>
        <v>0</v>
      </c>
      <c r="AZ29" s="492">
        <f t="shared" si="77"/>
        <v>0</v>
      </c>
      <c r="BA29" s="222"/>
      <c r="BB29" s="532">
        <f>SUM(L29/3)</f>
        <v>0</v>
      </c>
      <c r="BC29" s="492">
        <f>SUM(L29/3)</f>
        <v>0</v>
      </c>
      <c r="BD29" s="492">
        <f>SUM(L29/3)</f>
        <v>0</v>
      </c>
      <c r="BE29" s="492">
        <f t="shared" si="78"/>
        <v>0</v>
      </c>
      <c r="BF29" s="222"/>
      <c r="BG29" s="532">
        <f>SUM(M29/3)</f>
        <v>0</v>
      </c>
      <c r="BH29" s="492">
        <f>SUM(M29/3)</f>
        <v>0</v>
      </c>
      <c r="BI29" s="492">
        <f>SUM(M29/3)</f>
        <v>0</v>
      </c>
      <c r="BJ29" s="492">
        <f t="shared" si="79"/>
        <v>0</v>
      </c>
      <c r="BK29" s="222"/>
      <c r="BL29" s="532">
        <f>SUM(N29/3)</f>
        <v>0</v>
      </c>
      <c r="BM29" s="492">
        <f>SUM(N29/3)</f>
        <v>0</v>
      </c>
      <c r="BN29" s="492">
        <f>SUM(N29/3)</f>
        <v>0</v>
      </c>
      <c r="BO29" s="492">
        <f t="shared" si="80"/>
        <v>0</v>
      </c>
      <c r="BP29" s="222"/>
      <c r="BQ29" s="221"/>
      <c r="BR29" s="532">
        <f>SUM(P29/3)</f>
        <v>0</v>
      </c>
      <c r="BS29" s="492">
        <f>SUM(P29/3)</f>
        <v>0</v>
      </c>
      <c r="BT29" s="492">
        <f>SUM(P29/3)</f>
        <v>0</v>
      </c>
      <c r="BU29" s="492">
        <f t="shared" si="81"/>
        <v>0</v>
      </c>
      <c r="BV29" s="222"/>
      <c r="BW29" s="532">
        <f>SUM(Q29/3)</f>
        <v>0</v>
      </c>
      <c r="BX29" s="492">
        <f>SUM(Q29/3)</f>
        <v>0</v>
      </c>
      <c r="BY29" s="492">
        <f>SUM(Q29/3)</f>
        <v>0</v>
      </c>
      <c r="BZ29" s="492">
        <f t="shared" si="82"/>
        <v>0</v>
      </c>
      <c r="CA29" s="222"/>
      <c r="CB29" s="532">
        <f>SUM(R29/3)</f>
        <v>0</v>
      </c>
      <c r="CC29" s="492">
        <f>SUM(R29/3)</f>
        <v>0</v>
      </c>
      <c r="CD29" s="492">
        <f>SUM(R29/3)</f>
        <v>0</v>
      </c>
      <c r="CE29" s="492">
        <f t="shared" si="83"/>
        <v>0</v>
      </c>
      <c r="CF29" s="222"/>
      <c r="CG29" s="532">
        <f>SUM(S29/3)</f>
        <v>0</v>
      </c>
      <c r="CH29" s="492">
        <f>SUM(S29/3)</f>
        <v>0</v>
      </c>
      <c r="CI29" s="492">
        <f>SUM(S29/3)</f>
        <v>0</v>
      </c>
      <c r="CJ29" s="492">
        <f t="shared" si="84"/>
        <v>0</v>
      </c>
      <c r="CK29" s="222"/>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row>
    <row r="30" spans="1:179" s="57" customFormat="1" ht="9.75" customHeight="1" x14ac:dyDescent="0.15">
      <c r="A30" s="422" t="s">
        <v>219</v>
      </c>
      <c r="B30" s="185"/>
      <c r="C30" s="186"/>
      <c r="D30" s="187"/>
      <c r="E30" s="188"/>
      <c r="F30" s="419">
        <f>AE30</f>
        <v>0</v>
      </c>
      <c r="G30" s="420">
        <f>AJ30</f>
        <v>0</v>
      </c>
      <c r="H30" s="420">
        <f>AO30</f>
        <v>0</v>
      </c>
      <c r="I30" s="420">
        <f>AT30</f>
        <v>0</v>
      </c>
      <c r="J30" s="211">
        <f>SUM(F30:I30)</f>
        <v>0</v>
      </c>
      <c r="K30" s="420">
        <f>AZ30</f>
        <v>0</v>
      </c>
      <c r="L30" s="420">
        <f>BE30</f>
        <v>0</v>
      </c>
      <c r="M30" s="420">
        <f>BJ30</f>
        <v>0</v>
      </c>
      <c r="N30" s="420">
        <f>BO30</f>
        <v>0</v>
      </c>
      <c r="O30" s="211">
        <f>SUM(K30:N30)</f>
        <v>0</v>
      </c>
      <c r="P30" s="420">
        <f>BU30</f>
        <v>0</v>
      </c>
      <c r="Q30" s="420">
        <f>BZ30</f>
        <v>0</v>
      </c>
      <c r="R30" s="420">
        <f>CE30</f>
        <v>0</v>
      </c>
      <c r="S30" s="420">
        <f>CJ30</f>
        <v>0</v>
      </c>
      <c r="T30" s="230">
        <f>SUM(P30:S30)</f>
        <v>0</v>
      </c>
      <c r="U30" s="232"/>
      <c r="V30" s="535">
        <f>SUM(((S18+V18)/2)*(V21+V22+V23+V24+V25+V26+V27+V28))</f>
        <v>0</v>
      </c>
      <c r="W30" s="420">
        <f>SUM(((V18+W18)/2)*(W21+W22+W23+W24+W25+W26+W27+W28))</f>
        <v>0</v>
      </c>
      <c r="X30" s="536">
        <f>SUM(((W18+X18)/2)*(X21+X22+X23+X24+X25+X26+X27+X28))</f>
        <v>0</v>
      </c>
      <c r="Y30" s="232"/>
      <c r="Z30" s="579">
        <v>0</v>
      </c>
      <c r="AA30" s="618"/>
      <c r="AB30" s="535">
        <f>SUM(AB21:AB29)</f>
        <v>0</v>
      </c>
      <c r="AC30" s="420">
        <f>SUM(AC21:AC29)</f>
        <v>0</v>
      </c>
      <c r="AD30" s="420">
        <f>SUM(AD21:AD29)</f>
        <v>0</v>
      </c>
      <c r="AE30" s="211">
        <f>SUM(AB30:AD30)</f>
        <v>0</v>
      </c>
      <c r="AF30" s="212"/>
      <c r="AG30" s="535">
        <f>SUM(AG21:AG29)</f>
        <v>0</v>
      </c>
      <c r="AH30" s="420">
        <f>SUM(AH21:AH29)</f>
        <v>0</v>
      </c>
      <c r="AI30" s="420">
        <f>SUM(AI21:AI29)</f>
        <v>0</v>
      </c>
      <c r="AJ30" s="211">
        <f>SUM(AG30:AI30)</f>
        <v>0</v>
      </c>
      <c r="AK30" s="212"/>
      <c r="AL30" s="535">
        <f>SUM(AL21:AL29)</f>
        <v>0</v>
      </c>
      <c r="AM30" s="420">
        <f>SUM(AM21:AM29)</f>
        <v>0</v>
      </c>
      <c r="AN30" s="420">
        <f>SUM(AN21:AN29)</f>
        <v>0</v>
      </c>
      <c r="AO30" s="211">
        <f>SUM(AL30:AN30)</f>
        <v>0</v>
      </c>
      <c r="AP30" s="212"/>
      <c r="AQ30" s="535">
        <f>SUM(AQ21:AQ29)</f>
        <v>0</v>
      </c>
      <c r="AR30" s="420">
        <f>SUM(AR21:AR29)</f>
        <v>0</v>
      </c>
      <c r="AS30" s="420">
        <f>SUM(AS21:AS29)</f>
        <v>0</v>
      </c>
      <c r="AT30" s="211">
        <f>SUM(AQ30:AS30)</f>
        <v>0</v>
      </c>
      <c r="AU30" s="212"/>
      <c r="AV30" s="618"/>
      <c r="AW30" s="535">
        <f>SUM(AW21:AW29)</f>
        <v>0</v>
      </c>
      <c r="AX30" s="420">
        <f>SUM(AX21:AX29)</f>
        <v>0</v>
      </c>
      <c r="AY30" s="420">
        <f>SUM(AY21:AY29)</f>
        <v>0</v>
      </c>
      <c r="AZ30" s="211">
        <f>SUM(AW30:AY30)</f>
        <v>0</v>
      </c>
      <c r="BA30" s="212"/>
      <c r="BB30" s="535">
        <f>SUM(BB21:BB29)</f>
        <v>0</v>
      </c>
      <c r="BC30" s="420">
        <f>SUM(BC21:BC29)</f>
        <v>0</v>
      </c>
      <c r="BD30" s="420">
        <f>SUM(BD21:BD29)</f>
        <v>0</v>
      </c>
      <c r="BE30" s="211">
        <f>SUM(BB30:BD30)</f>
        <v>0</v>
      </c>
      <c r="BF30" s="212"/>
      <c r="BG30" s="535">
        <f>SUM(BG21:BG29)</f>
        <v>0</v>
      </c>
      <c r="BH30" s="420">
        <f>SUM(BH21:BH29)</f>
        <v>0</v>
      </c>
      <c r="BI30" s="420">
        <f>SUM(BI21:BI29)</f>
        <v>0</v>
      </c>
      <c r="BJ30" s="211">
        <f>SUM(BG30:BI30)</f>
        <v>0</v>
      </c>
      <c r="BK30" s="212"/>
      <c r="BL30" s="535">
        <f>SUM(BL21:BL29)</f>
        <v>0</v>
      </c>
      <c r="BM30" s="420">
        <f>SUM(BM21:BM29)</f>
        <v>0</v>
      </c>
      <c r="BN30" s="420">
        <f>SUM(BN21:BN29)</f>
        <v>0</v>
      </c>
      <c r="BO30" s="211">
        <f>SUM(BL30:BN30)</f>
        <v>0</v>
      </c>
      <c r="BP30" s="212"/>
      <c r="BQ30" s="232"/>
      <c r="BR30" s="535">
        <f>SUM(BR21:BR29)</f>
        <v>0</v>
      </c>
      <c r="BS30" s="420">
        <f>SUM(BS21:BS29)</f>
        <v>0</v>
      </c>
      <c r="BT30" s="420">
        <f>SUM(BT21:BT29)</f>
        <v>0</v>
      </c>
      <c r="BU30" s="211">
        <f>SUM(BR30:BT30)</f>
        <v>0</v>
      </c>
      <c r="BV30" s="212"/>
      <c r="BW30" s="535">
        <f>SUM(BW21:BW29)</f>
        <v>0</v>
      </c>
      <c r="BX30" s="420">
        <f>SUM(BX21:BX29)</f>
        <v>0</v>
      </c>
      <c r="BY30" s="420">
        <f>SUM(BY21:BY29)</f>
        <v>0</v>
      </c>
      <c r="BZ30" s="211">
        <f>SUM(BW30:BY30)</f>
        <v>0</v>
      </c>
      <c r="CA30" s="212"/>
      <c r="CB30" s="535">
        <f>SUM(CB21:CB29)</f>
        <v>0</v>
      </c>
      <c r="CC30" s="420">
        <f>SUM(CC21:CC29)</f>
        <v>0</v>
      </c>
      <c r="CD30" s="420">
        <f>SUM(CD21:CD29)</f>
        <v>0</v>
      </c>
      <c r="CE30" s="211">
        <f>SUM(CB30:CD30)</f>
        <v>0</v>
      </c>
      <c r="CF30" s="212"/>
      <c r="CG30" s="535">
        <f>SUM(CG21:CG29)</f>
        <v>0</v>
      </c>
      <c r="CH30" s="420">
        <f>SUM(CH21:CH29)</f>
        <v>0</v>
      </c>
      <c r="CI30" s="420">
        <f>SUM(CI21:CI29)</f>
        <v>0</v>
      </c>
      <c r="CJ30" s="233">
        <f>SUM(CG30:CI30)</f>
        <v>0</v>
      </c>
      <c r="CK30" s="212"/>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row>
    <row r="31" spans="1:179" s="55" customFormat="1" ht="4.5" customHeight="1" x14ac:dyDescent="0.15">
      <c r="A31" s="189"/>
      <c r="B31" s="190"/>
      <c r="C31" s="191"/>
      <c r="D31" s="192"/>
      <c r="E31" s="193"/>
      <c r="F31" s="234"/>
      <c r="G31" s="196"/>
      <c r="H31" s="196"/>
      <c r="I31" s="196"/>
      <c r="J31" s="196"/>
      <c r="K31" s="196"/>
      <c r="L31" s="196"/>
      <c r="M31" s="196"/>
      <c r="N31" s="196"/>
      <c r="O31" s="196"/>
      <c r="P31" s="196"/>
      <c r="Q31" s="196"/>
      <c r="R31" s="196"/>
      <c r="S31" s="196"/>
      <c r="T31" s="197"/>
      <c r="U31" s="235"/>
      <c r="V31" s="192"/>
      <c r="W31" s="196"/>
      <c r="X31" s="193"/>
      <c r="Y31" s="235"/>
      <c r="Z31" s="580"/>
      <c r="AA31" s="189"/>
      <c r="AB31" s="192"/>
      <c r="AC31" s="196"/>
      <c r="AD31" s="196"/>
      <c r="AE31" s="196"/>
      <c r="AF31" s="193"/>
      <c r="AG31" s="192"/>
      <c r="AH31" s="196"/>
      <c r="AI31" s="196"/>
      <c r="AJ31" s="196"/>
      <c r="AK31" s="193"/>
      <c r="AL31" s="192"/>
      <c r="AM31" s="196"/>
      <c r="AN31" s="196"/>
      <c r="AO31" s="196"/>
      <c r="AP31" s="193"/>
      <c r="AQ31" s="192"/>
      <c r="AR31" s="196"/>
      <c r="AS31" s="196"/>
      <c r="AT31" s="196"/>
      <c r="AU31" s="193"/>
      <c r="AV31" s="189"/>
      <c r="AW31" s="192"/>
      <c r="AX31" s="196"/>
      <c r="AY31" s="196"/>
      <c r="AZ31" s="196"/>
      <c r="BA31" s="193"/>
      <c r="BB31" s="192"/>
      <c r="BC31" s="196"/>
      <c r="BD31" s="196"/>
      <c r="BE31" s="196"/>
      <c r="BF31" s="193"/>
      <c r="BG31" s="192"/>
      <c r="BH31" s="196"/>
      <c r="BI31" s="196"/>
      <c r="BJ31" s="196"/>
      <c r="BK31" s="193"/>
      <c r="BL31" s="192"/>
      <c r="BM31" s="196"/>
      <c r="BN31" s="196"/>
      <c r="BO31" s="196"/>
      <c r="BP31" s="193"/>
      <c r="BQ31" s="235"/>
      <c r="BR31" s="192"/>
      <c r="BS31" s="196"/>
      <c r="BT31" s="196"/>
      <c r="BU31" s="196"/>
      <c r="BV31" s="193"/>
      <c r="BW31" s="192"/>
      <c r="BX31" s="196"/>
      <c r="BY31" s="196"/>
      <c r="BZ31" s="196"/>
      <c r="CA31" s="193"/>
      <c r="CB31" s="192"/>
      <c r="CC31" s="196"/>
      <c r="CD31" s="196"/>
      <c r="CE31" s="196"/>
      <c r="CF31" s="193"/>
      <c r="CG31" s="192"/>
      <c r="CH31" s="196"/>
      <c r="CI31" s="196"/>
      <c r="CJ31" s="196"/>
      <c r="CK31" s="193"/>
    </row>
    <row r="32" spans="1:179" s="57" customFormat="1" ht="9.75" customHeight="1" x14ac:dyDescent="0.15">
      <c r="A32" s="486" t="s">
        <v>220</v>
      </c>
      <c r="B32" s="125"/>
      <c r="C32" s="202"/>
      <c r="D32" s="203"/>
      <c r="E32" s="204"/>
      <c r="F32" s="489"/>
      <c r="G32" s="490"/>
      <c r="H32" s="490"/>
      <c r="I32" s="490"/>
      <c r="J32" s="210"/>
      <c r="K32" s="490"/>
      <c r="L32" s="490"/>
      <c r="M32" s="490"/>
      <c r="N32" s="490"/>
      <c r="O32" s="210"/>
      <c r="P32" s="490"/>
      <c r="Q32" s="490"/>
      <c r="R32" s="490"/>
      <c r="S32" s="490"/>
      <c r="T32" s="236"/>
      <c r="U32" s="232"/>
      <c r="V32" s="557"/>
      <c r="W32" s="415"/>
      <c r="X32" s="558"/>
      <c r="Y32" s="232"/>
      <c r="Z32" s="577"/>
      <c r="AA32" s="618"/>
      <c r="AB32" s="594"/>
      <c r="AC32" s="490"/>
      <c r="AD32" s="490"/>
      <c r="AE32" s="490"/>
      <c r="AF32" s="212"/>
      <c r="AG32" s="594"/>
      <c r="AH32" s="490"/>
      <c r="AI32" s="490"/>
      <c r="AJ32" s="490"/>
      <c r="AK32" s="212"/>
      <c r="AL32" s="594"/>
      <c r="AM32" s="490"/>
      <c r="AN32" s="490"/>
      <c r="AO32" s="490"/>
      <c r="AP32" s="212"/>
      <c r="AQ32" s="594"/>
      <c r="AR32" s="490"/>
      <c r="AS32" s="490"/>
      <c r="AT32" s="490"/>
      <c r="AU32" s="212"/>
      <c r="AV32" s="618"/>
      <c r="AW32" s="594"/>
      <c r="AX32" s="490"/>
      <c r="AY32" s="490"/>
      <c r="AZ32" s="490"/>
      <c r="BA32" s="212"/>
      <c r="BB32" s="594"/>
      <c r="BC32" s="490"/>
      <c r="BD32" s="490"/>
      <c r="BE32" s="490"/>
      <c r="BF32" s="212"/>
      <c r="BG32" s="594"/>
      <c r="BH32" s="490"/>
      <c r="BI32" s="490"/>
      <c r="BJ32" s="490"/>
      <c r="BK32" s="212"/>
      <c r="BL32" s="594"/>
      <c r="BM32" s="490"/>
      <c r="BN32" s="490"/>
      <c r="BO32" s="490"/>
      <c r="BP32" s="212"/>
      <c r="BQ32" s="232"/>
      <c r="BR32" s="594"/>
      <c r="BS32" s="490"/>
      <c r="BT32" s="490"/>
      <c r="BU32" s="490"/>
      <c r="BV32" s="212"/>
      <c r="BW32" s="594"/>
      <c r="BX32" s="490"/>
      <c r="BY32" s="490"/>
      <c r="BZ32" s="490"/>
      <c r="CA32" s="212"/>
      <c r="CB32" s="594"/>
      <c r="CC32" s="490"/>
      <c r="CD32" s="490"/>
      <c r="CE32" s="490"/>
      <c r="CF32" s="212"/>
      <c r="CG32" s="594"/>
      <c r="CH32" s="490"/>
      <c r="CI32" s="490"/>
      <c r="CJ32" s="490"/>
      <c r="CK32" s="212"/>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row>
    <row r="33" spans="1:179" s="57" customFormat="1" ht="9.75" customHeight="1" x14ac:dyDescent="0.15">
      <c r="A33" s="488" t="s">
        <v>153</v>
      </c>
      <c r="B33" s="239">
        <v>0</v>
      </c>
      <c r="C33" s="126">
        <v>0.04</v>
      </c>
      <c r="D33" s="240"/>
      <c r="E33" s="241"/>
      <c r="F33" s="491">
        <f>SUM((IF(ISBLANK(D33),B33,D33))+(F34*(IF(ISBLANK(E33),C33,E33))))</f>
        <v>800</v>
      </c>
      <c r="G33" s="492">
        <f>SUM((IF(ISBLANK(D33),B33,D33))+(G34*(IF(ISBLANK(E33),C33,E33))))</f>
        <v>800</v>
      </c>
      <c r="H33" s="492">
        <f>SUM((IF(ISBLANK(D33),B33,D33))+(H34*(IF(ISBLANK(E33),C33,E33))))</f>
        <v>800</v>
      </c>
      <c r="I33" s="492">
        <f>SUM((IF(ISBLANK(D33),B33,D33))+(I34*(IF(ISBLANK(E33),C33,E33))))</f>
        <v>800</v>
      </c>
      <c r="J33" s="217">
        <f>SUM(AE33+AJ33+AO33+AT33)</f>
        <v>9600</v>
      </c>
      <c r="K33" s="492">
        <f>SUM((IF(ISBLANK(D33),B33,D33))+(K34*(IF(ISBLANK(E33),C33,E33))))</f>
        <v>800</v>
      </c>
      <c r="L33" s="492">
        <f>SUM((IF(ISBLANK(D33),B33,D33))+(L34*(IF(ISBLANK(E33),C33,E33))))</f>
        <v>800</v>
      </c>
      <c r="M33" s="492">
        <f>SUM((IF(ISBLANK(D33),B33,D33))+(M34*(IF(ISBLANK(E33),C33,E33))))</f>
        <v>800</v>
      </c>
      <c r="N33" s="492">
        <f>SUM((IF(ISBLANK(D33),B33,D33))+(N34*(IF(ISBLANK(E33),C33,E33))))</f>
        <v>800</v>
      </c>
      <c r="O33" s="217">
        <f>SUM(AZ33+BE33+BJ33+BO33)</f>
        <v>9600</v>
      </c>
      <c r="P33" s="492">
        <f>SUM((IF(ISBLANK(D33),B33,D33))+(P34*(IF(ISBLANK(E33),C33,E33))))</f>
        <v>800</v>
      </c>
      <c r="Q33" s="492">
        <f>SUM((IF(ISBLANK(D33),B33,D33))+(Q34*(IF(ISBLANK(E33),C33,E33))))</f>
        <v>800</v>
      </c>
      <c r="R33" s="492">
        <f>SUM((IF(ISBLANK(D33),B33,D33))+(R34*(IF(ISBLANK(E33),C33,E33))))</f>
        <v>800</v>
      </c>
      <c r="S33" s="492">
        <f>SUM((IF(ISBLANK(D33),B33,D33))+(S34*(IF(ISBLANK(E33),C33,E33))))</f>
        <v>800</v>
      </c>
      <c r="T33" s="218">
        <f>SUM(BU33+BZ33+CE33+CJ33)</f>
        <v>9600</v>
      </c>
      <c r="U33" s="221"/>
      <c r="V33" s="555">
        <f>SUM((IF(ISBLANK(D33),B33,D33))+(V34*(IF(ISBLANK(E33),C33,E33))))</f>
        <v>9600</v>
      </c>
      <c r="W33" s="416">
        <f>SUM((IF(ISBLANK(D33),B33,D33))+(W34*(IF(ISBLANK(E33),C33,E33))))</f>
        <v>9600</v>
      </c>
      <c r="X33" s="556">
        <f>SUM((IF(ISBLANK(D33),B33,D33))+(X34*(IF(ISBLANK(E33),C33,E33))))</f>
        <v>9600</v>
      </c>
      <c r="Y33" s="221"/>
      <c r="Z33" s="578">
        <f>SUM(11102+10095+8000)</f>
        <v>29197</v>
      </c>
      <c r="AA33" s="617"/>
      <c r="AB33" s="532">
        <f>F33</f>
        <v>800</v>
      </c>
      <c r="AC33" s="492">
        <f>F33</f>
        <v>800</v>
      </c>
      <c r="AD33" s="492">
        <f>F33</f>
        <v>800</v>
      </c>
      <c r="AE33" s="492">
        <f t="shared" ref="AE33:AE43" si="98">SUM(AB33:AD33)</f>
        <v>2400</v>
      </c>
      <c r="AF33" s="222"/>
      <c r="AG33" s="532">
        <f>G33</f>
        <v>800</v>
      </c>
      <c r="AH33" s="492">
        <f>G33</f>
        <v>800</v>
      </c>
      <c r="AI33" s="492">
        <f>G33</f>
        <v>800</v>
      </c>
      <c r="AJ33" s="492">
        <f t="shared" ref="AJ33:AJ46" si="99">SUM(AG33:AI33)</f>
        <v>2400</v>
      </c>
      <c r="AK33" s="222"/>
      <c r="AL33" s="532">
        <f>H33</f>
        <v>800</v>
      </c>
      <c r="AM33" s="492">
        <f>H33</f>
        <v>800</v>
      </c>
      <c r="AN33" s="492">
        <f>H33</f>
        <v>800</v>
      </c>
      <c r="AO33" s="492">
        <f t="shared" ref="AO33:AO43" si="100">SUM(AL33:AN33)</f>
        <v>2400</v>
      </c>
      <c r="AP33" s="222"/>
      <c r="AQ33" s="532">
        <f>I33</f>
        <v>800</v>
      </c>
      <c r="AR33" s="492">
        <f>I33</f>
        <v>800</v>
      </c>
      <c r="AS33" s="492">
        <f>I33</f>
        <v>800</v>
      </c>
      <c r="AT33" s="492">
        <f t="shared" ref="AT33:AT43" si="101">SUM(AQ33:AS33)</f>
        <v>2400</v>
      </c>
      <c r="AU33" s="222"/>
      <c r="AV33" s="617"/>
      <c r="AW33" s="532">
        <f>K33</f>
        <v>800</v>
      </c>
      <c r="AX33" s="492">
        <f>K33</f>
        <v>800</v>
      </c>
      <c r="AY33" s="492">
        <f>K33</f>
        <v>800</v>
      </c>
      <c r="AZ33" s="492">
        <f t="shared" ref="AZ33:AZ43" si="102">SUM(AW33:AY33)</f>
        <v>2400</v>
      </c>
      <c r="BA33" s="222"/>
      <c r="BB33" s="532">
        <f>L33</f>
        <v>800</v>
      </c>
      <c r="BC33" s="492">
        <f>L33</f>
        <v>800</v>
      </c>
      <c r="BD33" s="492">
        <f>L33</f>
        <v>800</v>
      </c>
      <c r="BE33" s="492">
        <f t="shared" ref="BE33:BE43" si="103">SUM(BB33:BD33)</f>
        <v>2400</v>
      </c>
      <c r="BF33" s="222"/>
      <c r="BG33" s="532">
        <f>M33</f>
        <v>800</v>
      </c>
      <c r="BH33" s="492">
        <f>M33</f>
        <v>800</v>
      </c>
      <c r="BI33" s="492">
        <f>M33</f>
        <v>800</v>
      </c>
      <c r="BJ33" s="492">
        <f t="shared" ref="BJ33:BJ43" si="104">SUM(BG33:BI33)</f>
        <v>2400</v>
      </c>
      <c r="BK33" s="222"/>
      <c r="BL33" s="532">
        <f>N33</f>
        <v>800</v>
      </c>
      <c r="BM33" s="492">
        <f>N33</f>
        <v>800</v>
      </c>
      <c r="BN33" s="492">
        <f>N33</f>
        <v>800</v>
      </c>
      <c r="BO33" s="492">
        <f t="shared" ref="BO33:BO43" si="105">SUM(BL33:BN33)</f>
        <v>2400</v>
      </c>
      <c r="BP33" s="222"/>
      <c r="BQ33" s="221"/>
      <c r="BR33" s="532">
        <f>P33</f>
        <v>800</v>
      </c>
      <c r="BS33" s="492">
        <f>P33</f>
        <v>800</v>
      </c>
      <c r="BT33" s="492">
        <f>P33</f>
        <v>800</v>
      </c>
      <c r="BU33" s="492">
        <f t="shared" ref="BU33:BU43" si="106">SUM(BR33:BT33)</f>
        <v>2400</v>
      </c>
      <c r="BV33" s="222"/>
      <c r="BW33" s="532">
        <f>Q33</f>
        <v>800</v>
      </c>
      <c r="BX33" s="492">
        <f>Q33</f>
        <v>800</v>
      </c>
      <c r="BY33" s="492">
        <f>Q33</f>
        <v>800</v>
      </c>
      <c r="BZ33" s="492">
        <f t="shared" ref="BZ33:BZ43" si="107">SUM(BW33:BY33)</f>
        <v>2400</v>
      </c>
      <c r="CA33" s="222"/>
      <c r="CB33" s="532">
        <f>R33</f>
        <v>800</v>
      </c>
      <c r="CC33" s="492">
        <f>R33</f>
        <v>800</v>
      </c>
      <c r="CD33" s="492">
        <f>R33</f>
        <v>800</v>
      </c>
      <c r="CE33" s="492">
        <f t="shared" ref="CE33:CE43" si="108">SUM(CB33:CD33)</f>
        <v>2400</v>
      </c>
      <c r="CF33" s="222"/>
      <c r="CG33" s="532">
        <f>S33</f>
        <v>800</v>
      </c>
      <c r="CH33" s="492">
        <f>S33</f>
        <v>800</v>
      </c>
      <c r="CI33" s="492">
        <f>S33</f>
        <v>800</v>
      </c>
      <c r="CJ33" s="492">
        <f t="shared" ref="CJ33:CJ43" si="109">SUM(CG33:CI33)</f>
        <v>2400</v>
      </c>
      <c r="CK33" s="222"/>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row>
    <row r="34" spans="1:179" s="57" customFormat="1" ht="9.75" customHeight="1" x14ac:dyDescent="0.15">
      <c r="A34" s="488" t="s">
        <v>154</v>
      </c>
      <c r="B34" s="145">
        <v>0.1</v>
      </c>
      <c r="C34" s="126">
        <v>-5.0000000000000001E-3</v>
      </c>
      <c r="D34" s="146"/>
      <c r="E34" s="241"/>
      <c r="F34" s="226">
        <v>20000</v>
      </c>
      <c r="G34" s="227">
        <v>20000</v>
      </c>
      <c r="H34" s="492">
        <f>SUM((IF(ISBLANK(D34),B34,D34)*(H30/3))+(G34))</f>
        <v>20000</v>
      </c>
      <c r="I34" s="492">
        <f>SUM(IF(ISBLANK(D34),      (IF((1*(IF(ISBLANK(E34),C34,E34)) + B34) &lt; 0,     0,     (1*(IF(ISBLANK(E34),C34,E34)) + B34)   )),       (IF((1*(IF(ISBLANK(E34),C34,E34)) + D34) &lt; 0,     0,     (1*(IF(ISBLANK(E34),C34,E34)) + D34)   ))  )       *   (I30/3)+(H34))</f>
        <v>20000</v>
      </c>
      <c r="J34" s="217">
        <f t="shared" ref="J34:J45" si="110">SUM(AE34+AJ34+AO34+AT34)</f>
        <v>240000</v>
      </c>
      <c r="K34" s="492">
        <f>SUM(IF(ISBLANK(D34),      (IF((2*(IF(ISBLANK(E34),C34,E34)) + B34) &lt; 0,     0,     (2*(IF(ISBLANK(E34),C34,E34)) + B34)   )),       (IF((2*(IF(ISBLANK(E34),C34,E34)) + D34) &lt; 0,     0,     (2*(IF(ISBLANK(E34),C34,E34)) + D34)   ))  )       *   (K30/3)+(I34))</f>
        <v>20000</v>
      </c>
      <c r="L34" s="492">
        <f>SUM(IF(ISBLANK(D34),      (IF((3*(IF(ISBLANK(E34),C34,E34)) + B34) &lt; 0,     0,     (3*(IF(ISBLANK(E34),C34,E34)) + B34)   )),       (IF((3*(IF(ISBLANK(E34),C34,E34)) + D34) &lt; 0,     0,     (3*(IF(ISBLANK(E34),C34,E34)) + D34)   ))  )       *   (L30/3)+(K34))</f>
        <v>20000</v>
      </c>
      <c r="M34" s="492">
        <f>SUM(IF(ISBLANK(D34),      (IF((4*(IF(ISBLANK(E34),C34,E34)) + B34) &lt; 0,     0,     (4*(IF(ISBLANK(E34),C34,E34)) + B34)   )),       (IF((4*(IF(ISBLANK(E34),C34,E34)) + D34) &lt; 0,     0,     (4*(IF(ISBLANK(E34),C34,E34)) + D34)   ))  )       *   (M30/3)+(L34))</f>
        <v>20000</v>
      </c>
      <c r="N34" s="492">
        <f>SUM(IF(ISBLANK(D34),      (IF((5*(IF(ISBLANK(E34),C34,E34)) + B34) &lt; 0,     0,     (5*(IF(ISBLANK(E34),C34,E34)) + B34)   )),       (IF((5*(IF(ISBLANK(E34),C34,E34)) + D34) &lt; 0,     0,     (5*(IF(ISBLANK(E34),C34,E34)) + D34)   ))  )       *   (N30/3)+(M34))</f>
        <v>20000</v>
      </c>
      <c r="O34" s="217">
        <f t="shared" ref="O34:O45" si="111">SUM(AZ34+BE34+BJ34+BO34)</f>
        <v>240000</v>
      </c>
      <c r="P34" s="492">
        <f>SUM(IF(ISBLANK(D34),      (IF((6*(IF(ISBLANK(E34),C34,E34)) + B34) &lt; 0,     0,     (6*(IF(ISBLANK(E34),C34,E34)) + B34)   )),       (IF((6*(IF(ISBLANK(E34),C34,E34)) + D34) &lt; 0,     0,     (6*(IF(ISBLANK(E34),C34,E34)) + D34)   ))  )       *   (P30/3)+(N34))</f>
        <v>20000</v>
      </c>
      <c r="Q34" s="492">
        <f>SUM(IF(ISBLANK(D34),      (IF((7*(IF(ISBLANK(E34),C34,E34)) + B34) &lt; 0,     0,     (7*(IF(ISBLANK(E34),C34,E34)) + B34)   )),       (IF((7*(IF(ISBLANK(E34),C34,E34)) + D34) &lt; 0,     0,     (7*(IF(ISBLANK(E34),C34,E34)) + D34)   ))  )       *   (Q30/3)+(P34))</f>
        <v>20000</v>
      </c>
      <c r="R34" s="492">
        <f>SUM(IF(ISBLANK(D34),      (IF((8*(IF(ISBLANK(E34),C34,E34)) + B34) &lt; 0,     0,     (8*(IF(ISBLANK(E34),C34,E34)) + B34)   )),       (IF((8*(IF(ISBLANK(E34),C34,E34)) + D34) &lt; 0,     0,     (8*(IF(ISBLANK(E34),C34,E34)) + D34)   ))  )       *   (R30/3)+(Q34))</f>
        <v>20000</v>
      </c>
      <c r="S34" s="492">
        <f>SUM(IF(ISBLANK(D34),      (IF((9*(IF(ISBLANK(E34),C34,E34)) + B34) &lt; 0,     0,     (9*(IF(ISBLANK(E34),C34,E34)) + B34)   )),       (IF((9*(IF(ISBLANK(E34),C34,E34)) + D34) &lt; 0,     0,     (9*(IF(ISBLANK(E34),C34,E34)) + D34)   ))  )       *   (S30/3)+(R34))</f>
        <v>20000</v>
      </c>
      <c r="T34" s="218">
        <f t="shared" ref="T34:T45" si="112">SUM(BU34+BZ34+CE34+CJ34)</f>
        <v>240000</v>
      </c>
      <c r="U34" s="221"/>
      <c r="V34" s="555">
        <f>SUM(IF(ISBLANK(D34),      (IF((10*(IF(ISBLANK(E34),C34,E34)) + B34) &lt; 0,     0,     (10*(IF(ISBLANK(E34),C34,E34)) + B34)   )),       (IF((10*(IF(ISBLANK(E34),C34,E34)) + D34) &lt; 0,     0,     (10*(IF(ISBLANK(E34),C34,E34)) + D34)   ))  )       *   (V30/3)+(S34))*12</f>
        <v>240000</v>
      </c>
      <c r="W34" s="416">
        <f>SUM(IF(ISBLANK(D34),      (IF((11*(IF(ISBLANK(E34),C34,E34)) + B34) &lt; 0,     0,     (11*(IF(ISBLANK(E34),C34,E34)) + B34)   )),       (IF((11*(IF(ISBLANK(E34),C34,E34)) + D34) &lt; 0,     0,     (11*(IF(ISBLANK(E34),C34,E34)) + D34)   ))  )       *   (W30/12)+(V34/12))*12</f>
        <v>240000</v>
      </c>
      <c r="X34" s="556">
        <f>SUM(IF(ISBLANK(D34),      (IF((12*(IF(ISBLANK(E34),C34,E34)) + B34) &lt; 0,     0,     (12*(IF(ISBLANK(E34),C34,E34)) + B34)   )),       (IF((12*(IF(ISBLANK(E34),C34,E34)) + D34) &lt; 0,     0,     (12*(IF(ISBLANK(E34),C34,E34)) + D34)   ))  )       *   (X30/12)+(W34/12))*12</f>
        <v>240000</v>
      </c>
      <c r="Y34" s="221"/>
      <c r="Z34" s="578">
        <f>SUM(30664+342396+71683+36198+34170+34090+28752+50203+25449+25629+23773+25295+25295+20000)</f>
        <v>773597</v>
      </c>
      <c r="AA34" s="617"/>
      <c r="AB34" s="532">
        <f t="shared" ref="AB34:AB46" si="113">F34</f>
        <v>20000</v>
      </c>
      <c r="AC34" s="492">
        <f t="shared" ref="AC34:AC46" si="114">F34</f>
        <v>20000</v>
      </c>
      <c r="AD34" s="492">
        <f t="shared" ref="AD34:AD46" si="115">F34</f>
        <v>20000</v>
      </c>
      <c r="AE34" s="492">
        <f t="shared" si="98"/>
        <v>60000</v>
      </c>
      <c r="AF34" s="222"/>
      <c r="AG34" s="532">
        <f t="shared" ref="AG34:AG46" si="116">G34</f>
        <v>20000</v>
      </c>
      <c r="AH34" s="492">
        <f t="shared" ref="AH34:AH46" si="117">G34</f>
        <v>20000</v>
      </c>
      <c r="AI34" s="492">
        <f t="shared" ref="AI34:AI46" si="118">G34</f>
        <v>20000</v>
      </c>
      <c r="AJ34" s="492">
        <f t="shared" si="99"/>
        <v>60000</v>
      </c>
      <c r="AK34" s="222"/>
      <c r="AL34" s="532">
        <f t="shared" ref="AL34:AL46" si="119">H34</f>
        <v>20000</v>
      </c>
      <c r="AM34" s="492">
        <f t="shared" ref="AM34:AM46" si="120">H34</f>
        <v>20000</v>
      </c>
      <c r="AN34" s="492">
        <f t="shared" ref="AN34:AN46" si="121">H34</f>
        <v>20000</v>
      </c>
      <c r="AO34" s="492">
        <f t="shared" si="100"/>
        <v>60000</v>
      </c>
      <c r="AP34" s="222"/>
      <c r="AQ34" s="532">
        <f t="shared" ref="AQ34:AQ46" si="122">I34</f>
        <v>20000</v>
      </c>
      <c r="AR34" s="492">
        <f t="shared" ref="AR34:AR46" si="123">I34</f>
        <v>20000</v>
      </c>
      <c r="AS34" s="492">
        <f t="shared" ref="AS34:AS46" si="124">I34</f>
        <v>20000</v>
      </c>
      <c r="AT34" s="492">
        <f t="shared" si="101"/>
        <v>60000</v>
      </c>
      <c r="AU34" s="222"/>
      <c r="AV34" s="617"/>
      <c r="AW34" s="532">
        <f t="shared" ref="AW34:AW46" si="125">K34</f>
        <v>20000</v>
      </c>
      <c r="AX34" s="492">
        <f t="shared" ref="AX34:AX46" si="126">K34</f>
        <v>20000</v>
      </c>
      <c r="AY34" s="492">
        <f t="shared" ref="AY34:AY46" si="127">K34</f>
        <v>20000</v>
      </c>
      <c r="AZ34" s="492">
        <f t="shared" si="102"/>
        <v>60000</v>
      </c>
      <c r="BA34" s="222"/>
      <c r="BB34" s="532">
        <f t="shared" ref="BB34:BB46" si="128">L34</f>
        <v>20000</v>
      </c>
      <c r="BC34" s="492">
        <f t="shared" ref="BC34:BC46" si="129">L34</f>
        <v>20000</v>
      </c>
      <c r="BD34" s="492">
        <f t="shared" ref="BD34:BD46" si="130">L34</f>
        <v>20000</v>
      </c>
      <c r="BE34" s="492">
        <f t="shared" si="103"/>
        <v>60000</v>
      </c>
      <c r="BF34" s="222"/>
      <c r="BG34" s="532">
        <f t="shared" ref="BG34:BG46" si="131">M34</f>
        <v>20000</v>
      </c>
      <c r="BH34" s="492">
        <f t="shared" ref="BH34:BH46" si="132">M34</f>
        <v>20000</v>
      </c>
      <c r="BI34" s="492">
        <f t="shared" ref="BI34:BI46" si="133">M34</f>
        <v>20000</v>
      </c>
      <c r="BJ34" s="492">
        <f t="shared" si="104"/>
        <v>60000</v>
      </c>
      <c r="BK34" s="222"/>
      <c r="BL34" s="532">
        <f t="shared" ref="BL34:BL46" si="134">N34</f>
        <v>20000</v>
      </c>
      <c r="BM34" s="492">
        <f t="shared" ref="BM34:BM46" si="135">N34</f>
        <v>20000</v>
      </c>
      <c r="BN34" s="492">
        <f t="shared" ref="BN34:BN46" si="136">N34</f>
        <v>20000</v>
      </c>
      <c r="BO34" s="492">
        <f t="shared" si="105"/>
        <v>60000</v>
      </c>
      <c r="BP34" s="222"/>
      <c r="BQ34" s="221"/>
      <c r="BR34" s="532">
        <f t="shared" ref="BR34:BR46" si="137">P34</f>
        <v>20000</v>
      </c>
      <c r="BS34" s="492">
        <f t="shared" ref="BS34:BS43" si="138">P34</f>
        <v>20000</v>
      </c>
      <c r="BT34" s="492">
        <f t="shared" ref="BT34:BT46" si="139">P34</f>
        <v>20000</v>
      </c>
      <c r="BU34" s="492">
        <f t="shared" si="106"/>
        <v>60000</v>
      </c>
      <c r="BV34" s="222"/>
      <c r="BW34" s="532">
        <f t="shared" ref="BW34:BW46" si="140">Q34</f>
        <v>20000</v>
      </c>
      <c r="BX34" s="492">
        <f t="shared" ref="BX34:BX46" si="141">Q34</f>
        <v>20000</v>
      </c>
      <c r="BY34" s="492">
        <f t="shared" ref="BY34:BY46" si="142">Q34</f>
        <v>20000</v>
      </c>
      <c r="BZ34" s="492">
        <f t="shared" si="107"/>
        <v>60000</v>
      </c>
      <c r="CA34" s="222"/>
      <c r="CB34" s="532">
        <f t="shared" ref="CB34:CB46" si="143">R34</f>
        <v>20000</v>
      </c>
      <c r="CC34" s="492">
        <f t="shared" ref="CC34:CC46" si="144">R34</f>
        <v>20000</v>
      </c>
      <c r="CD34" s="492">
        <f t="shared" ref="CD34:CD46" si="145">R34</f>
        <v>20000</v>
      </c>
      <c r="CE34" s="492">
        <f t="shared" si="108"/>
        <v>60000</v>
      </c>
      <c r="CF34" s="222"/>
      <c r="CG34" s="532">
        <f t="shared" ref="CG34:CG46" si="146">S34</f>
        <v>20000</v>
      </c>
      <c r="CH34" s="492">
        <f t="shared" ref="CH34:CH46" si="147">S34</f>
        <v>20000</v>
      </c>
      <c r="CI34" s="492">
        <f t="shared" ref="CI34:CI46" si="148">S34</f>
        <v>20000</v>
      </c>
      <c r="CJ34" s="492">
        <f t="shared" si="109"/>
        <v>60000</v>
      </c>
      <c r="CK34" s="222"/>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row>
    <row r="35" spans="1:179" s="57" customFormat="1" ht="9.75" customHeight="1" x14ac:dyDescent="0.15">
      <c r="A35" s="488" t="s">
        <v>155</v>
      </c>
      <c r="B35" s="239">
        <v>0</v>
      </c>
      <c r="C35" s="126">
        <v>0.01</v>
      </c>
      <c r="D35" s="240"/>
      <c r="E35" s="241"/>
      <c r="F35" s="491">
        <f>SUM((IF(ISBLANK(D35),B35,D35))+(F34*(IF(ISBLANK(E35),C35,E35))))</f>
        <v>200</v>
      </c>
      <c r="G35" s="492">
        <f>SUM((IF(ISBLANK(D35),B35,D35))+(G34*(IF(ISBLANK(E35),C35,E35))))</f>
        <v>200</v>
      </c>
      <c r="H35" s="492">
        <f>SUM((IF(ISBLANK(D35),B35,D35))+(H34*(IF(ISBLANK(E35),C35,E35))))</f>
        <v>200</v>
      </c>
      <c r="I35" s="492">
        <f>SUM((IF(ISBLANK(D35),B35,D35))+(I34*(IF(ISBLANK(E35),C35,E35))))</f>
        <v>200</v>
      </c>
      <c r="J35" s="217">
        <f t="shared" si="110"/>
        <v>2400</v>
      </c>
      <c r="K35" s="492">
        <f>SUM((IF(ISBLANK(D35),B35,D35))+(K34*(IF(ISBLANK(E35),C35,E35))))</f>
        <v>200</v>
      </c>
      <c r="L35" s="492">
        <f>SUM((IF(ISBLANK(D35),B35,D35))+(L34*(IF(ISBLANK(E35),C35,E35))))</f>
        <v>200</v>
      </c>
      <c r="M35" s="492">
        <f>SUM((IF(ISBLANK(D35),B35,D35))+(M34*(IF(ISBLANK(E35),C35,E35))))</f>
        <v>200</v>
      </c>
      <c r="N35" s="492">
        <f>SUM((IF(ISBLANK(D35),B35,D35))+(N34*(IF(ISBLANK(E35),C35,E35))))</f>
        <v>200</v>
      </c>
      <c r="O35" s="217">
        <f t="shared" si="111"/>
        <v>2400</v>
      </c>
      <c r="P35" s="492">
        <f>SUM((IF(ISBLANK(D35),B35,D35))+(P34*(IF(ISBLANK(E35),C35,E35))))</f>
        <v>200</v>
      </c>
      <c r="Q35" s="492">
        <f>SUM((IF(ISBLANK(D35),B35,D35))+(Q34*(IF(ISBLANK(E35),C35,E35))))</f>
        <v>200</v>
      </c>
      <c r="R35" s="492">
        <f>SUM((IF(ISBLANK(D35),B35,D35))+(R34*(IF(ISBLANK(E35),C35,E35))))</f>
        <v>200</v>
      </c>
      <c r="S35" s="492">
        <f>SUM((IF(ISBLANK(D35),B35,D35))+(S34*(IF(ISBLANK(E35),C35,E35))))</f>
        <v>200</v>
      </c>
      <c r="T35" s="218">
        <f t="shared" si="112"/>
        <v>2400</v>
      </c>
      <c r="U35" s="221"/>
      <c r="V35" s="555">
        <f>SUM((IF(ISBLANK(D35),B35,D35))+(V34*(IF(ISBLANK(E35),C35,E35))))</f>
        <v>2400</v>
      </c>
      <c r="W35" s="416">
        <f>SUM((IF(ISBLANK(D35),B35,D35))+(W34*(IF(ISBLANK(E35),C35,E35))))</f>
        <v>2400</v>
      </c>
      <c r="X35" s="556">
        <f>SUM((IF(ISBLANK(D35),B35,D35))+(X34*(IF(ISBLANK(E35),C35,E35))))</f>
        <v>2400</v>
      </c>
      <c r="Y35" s="221"/>
      <c r="Z35" s="578">
        <v>4000</v>
      </c>
      <c r="AA35" s="617"/>
      <c r="AB35" s="532">
        <f t="shared" si="113"/>
        <v>200</v>
      </c>
      <c r="AC35" s="492">
        <f t="shared" si="114"/>
        <v>200</v>
      </c>
      <c r="AD35" s="492">
        <f t="shared" si="115"/>
        <v>200</v>
      </c>
      <c r="AE35" s="492">
        <f t="shared" si="98"/>
        <v>600</v>
      </c>
      <c r="AF35" s="222"/>
      <c r="AG35" s="532">
        <f t="shared" si="116"/>
        <v>200</v>
      </c>
      <c r="AH35" s="492">
        <f t="shared" si="117"/>
        <v>200</v>
      </c>
      <c r="AI35" s="492">
        <f t="shared" si="118"/>
        <v>200</v>
      </c>
      <c r="AJ35" s="492">
        <f t="shared" si="99"/>
        <v>600</v>
      </c>
      <c r="AK35" s="222"/>
      <c r="AL35" s="532">
        <f t="shared" si="119"/>
        <v>200</v>
      </c>
      <c r="AM35" s="492">
        <f t="shared" si="120"/>
        <v>200</v>
      </c>
      <c r="AN35" s="492">
        <f t="shared" si="121"/>
        <v>200</v>
      </c>
      <c r="AO35" s="492">
        <f t="shared" si="100"/>
        <v>600</v>
      </c>
      <c r="AP35" s="222"/>
      <c r="AQ35" s="532">
        <f t="shared" si="122"/>
        <v>200</v>
      </c>
      <c r="AR35" s="492">
        <f t="shared" si="123"/>
        <v>200</v>
      </c>
      <c r="AS35" s="492">
        <f t="shared" si="124"/>
        <v>200</v>
      </c>
      <c r="AT35" s="492">
        <f t="shared" si="101"/>
        <v>600</v>
      </c>
      <c r="AU35" s="222"/>
      <c r="AV35" s="617"/>
      <c r="AW35" s="532">
        <f t="shared" si="125"/>
        <v>200</v>
      </c>
      <c r="AX35" s="492">
        <f t="shared" si="126"/>
        <v>200</v>
      </c>
      <c r="AY35" s="492">
        <f t="shared" si="127"/>
        <v>200</v>
      </c>
      <c r="AZ35" s="492">
        <f t="shared" si="102"/>
        <v>600</v>
      </c>
      <c r="BA35" s="222"/>
      <c r="BB35" s="532">
        <f t="shared" si="128"/>
        <v>200</v>
      </c>
      <c r="BC35" s="492">
        <f t="shared" si="129"/>
        <v>200</v>
      </c>
      <c r="BD35" s="492">
        <f t="shared" si="130"/>
        <v>200</v>
      </c>
      <c r="BE35" s="492">
        <f t="shared" si="103"/>
        <v>600</v>
      </c>
      <c r="BF35" s="222"/>
      <c r="BG35" s="532">
        <f t="shared" si="131"/>
        <v>200</v>
      </c>
      <c r="BH35" s="492">
        <f t="shared" si="132"/>
        <v>200</v>
      </c>
      <c r="BI35" s="492">
        <f t="shared" si="133"/>
        <v>200</v>
      </c>
      <c r="BJ35" s="492">
        <f t="shared" si="104"/>
        <v>600</v>
      </c>
      <c r="BK35" s="222"/>
      <c r="BL35" s="532">
        <f t="shared" si="134"/>
        <v>200</v>
      </c>
      <c r="BM35" s="492">
        <f t="shared" si="135"/>
        <v>200</v>
      </c>
      <c r="BN35" s="492">
        <f t="shared" si="136"/>
        <v>200</v>
      </c>
      <c r="BO35" s="492">
        <f t="shared" si="105"/>
        <v>600</v>
      </c>
      <c r="BP35" s="222"/>
      <c r="BQ35" s="221"/>
      <c r="BR35" s="532">
        <f t="shared" si="137"/>
        <v>200</v>
      </c>
      <c r="BS35" s="492">
        <f t="shared" si="138"/>
        <v>200</v>
      </c>
      <c r="BT35" s="492">
        <f t="shared" si="139"/>
        <v>200</v>
      </c>
      <c r="BU35" s="492">
        <f t="shared" si="106"/>
        <v>600</v>
      </c>
      <c r="BV35" s="222"/>
      <c r="BW35" s="532">
        <f t="shared" si="140"/>
        <v>200</v>
      </c>
      <c r="BX35" s="492">
        <f t="shared" si="141"/>
        <v>200</v>
      </c>
      <c r="BY35" s="492">
        <f t="shared" si="142"/>
        <v>200</v>
      </c>
      <c r="BZ35" s="492">
        <f t="shared" si="107"/>
        <v>600</v>
      </c>
      <c r="CA35" s="222"/>
      <c r="CB35" s="532">
        <f t="shared" si="143"/>
        <v>200</v>
      </c>
      <c r="CC35" s="492">
        <f t="shared" si="144"/>
        <v>200</v>
      </c>
      <c r="CD35" s="492">
        <f t="shared" si="145"/>
        <v>200</v>
      </c>
      <c r="CE35" s="492">
        <f t="shared" si="108"/>
        <v>600</v>
      </c>
      <c r="CF35" s="222"/>
      <c r="CG35" s="532">
        <f t="shared" si="146"/>
        <v>200</v>
      </c>
      <c r="CH35" s="492">
        <f t="shared" si="147"/>
        <v>200</v>
      </c>
      <c r="CI35" s="492">
        <f t="shared" si="148"/>
        <v>200</v>
      </c>
      <c r="CJ35" s="492">
        <f t="shared" si="109"/>
        <v>600</v>
      </c>
      <c r="CK35" s="222"/>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row>
    <row r="36" spans="1:179" s="57" customFormat="1" ht="9.75" customHeight="1" x14ac:dyDescent="0.15">
      <c r="A36" s="488" t="s">
        <v>156</v>
      </c>
      <c r="B36" s="239">
        <v>1500</v>
      </c>
      <c r="C36" s="126">
        <v>0.06</v>
      </c>
      <c r="D36" s="240"/>
      <c r="E36" s="241"/>
      <c r="F36" s="491">
        <f>SUM((IF(ISBLANK(D36),B36,D36))+(F34*(IF(ISBLANK(E36),C36,E36))))</f>
        <v>2700</v>
      </c>
      <c r="G36" s="492">
        <f>SUM((IF(ISBLANK(D36),B36,D36))+(G34*(IF(ISBLANK(E36),C36,E36))))</f>
        <v>2700</v>
      </c>
      <c r="H36" s="492">
        <f>SUM((IF(ISBLANK(D36),B36,D36))+(H34*(IF(ISBLANK(E36),C36,E36))))</f>
        <v>2700</v>
      </c>
      <c r="I36" s="492">
        <f>SUM((IF(ISBLANK(D36),B36,D36))+(I34*(IF(ISBLANK(E36),C36,E36))))</f>
        <v>2700</v>
      </c>
      <c r="J36" s="217">
        <f t="shared" si="110"/>
        <v>32400</v>
      </c>
      <c r="K36" s="492">
        <f>SUM((IF(ISBLANK(D36),B36,D36))+(K34*(IF(ISBLANK(E36),C36,E36))))</f>
        <v>2700</v>
      </c>
      <c r="L36" s="492">
        <f>SUM((IF(ISBLANK(D36),B36,D36))+(L34*(IF(ISBLANK(E36),C36,E36))))</f>
        <v>2700</v>
      </c>
      <c r="M36" s="492">
        <f>SUM((IF(ISBLANK(D36),B36,D36))+(M34*(IF(ISBLANK(E36),C36,E36))))</f>
        <v>2700</v>
      </c>
      <c r="N36" s="492">
        <f>SUM((IF(ISBLANK(D36),B36,D36))+(N34*(IF(ISBLANK(E36),C36,E36))))</f>
        <v>2700</v>
      </c>
      <c r="O36" s="217">
        <f t="shared" si="111"/>
        <v>32400</v>
      </c>
      <c r="P36" s="492">
        <f>SUM((IF(ISBLANK(D36),B36,D36))+(P34*(IF(ISBLANK(E36),C36,E36))))</f>
        <v>2700</v>
      </c>
      <c r="Q36" s="492">
        <f>SUM((IF(ISBLANK(D36),B36,D36))+(Q34*(IF(ISBLANK(E36),C36,E36))))</f>
        <v>2700</v>
      </c>
      <c r="R36" s="492">
        <f>SUM((IF(ISBLANK(D36),B36,D36))+(R34*(IF(ISBLANK(E36),C36,E36))))</f>
        <v>2700</v>
      </c>
      <c r="S36" s="492">
        <f>SUM((IF(ISBLANK(D36),B36,D36))+(S34*(IF(ISBLANK(E36),C36,E36))))</f>
        <v>2700</v>
      </c>
      <c r="T36" s="218">
        <f t="shared" si="112"/>
        <v>32400</v>
      </c>
      <c r="U36" s="221"/>
      <c r="V36" s="555">
        <f>SUM((IF(ISBLANK(D36),B36,D36))+(V34*(IF(ISBLANK(E36),C36,E36))))</f>
        <v>15900</v>
      </c>
      <c r="W36" s="416">
        <f>SUM((IF(ISBLANK(D36),B36,D36))+(W34*(IF(ISBLANK(E36),C36,E36))))</f>
        <v>15900</v>
      </c>
      <c r="X36" s="556">
        <f>SUM((IF(ISBLANK(D36),B36,D36))+(X34*(IF(ISBLANK(E36),C36,E36))))</f>
        <v>15900</v>
      </c>
      <c r="Y36" s="221"/>
      <c r="Z36" s="578">
        <f>SUM(3832+10734+12859+20000)</f>
        <v>47425</v>
      </c>
      <c r="AA36" s="617"/>
      <c r="AB36" s="532">
        <f t="shared" si="113"/>
        <v>2700</v>
      </c>
      <c r="AC36" s="492">
        <f t="shared" si="114"/>
        <v>2700</v>
      </c>
      <c r="AD36" s="492">
        <f t="shared" si="115"/>
        <v>2700</v>
      </c>
      <c r="AE36" s="492">
        <f t="shared" si="98"/>
        <v>8100</v>
      </c>
      <c r="AF36" s="222"/>
      <c r="AG36" s="532">
        <f t="shared" si="116"/>
        <v>2700</v>
      </c>
      <c r="AH36" s="492">
        <f t="shared" si="117"/>
        <v>2700</v>
      </c>
      <c r="AI36" s="492">
        <f t="shared" si="118"/>
        <v>2700</v>
      </c>
      <c r="AJ36" s="492">
        <f t="shared" si="99"/>
        <v>8100</v>
      </c>
      <c r="AK36" s="222"/>
      <c r="AL36" s="532">
        <f t="shared" si="119"/>
        <v>2700</v>
      </c>
      <c r="AM36" s="492">
        <f t="shared" si="120"/>
        <v>2700</v>
      </c>
      <c r="AN36" s="492">
        <f t="shared" si="121"/>
        <v>2700</v>
      </c>
      <c r="AO36" s="492">
        <f t="shared" si="100"/>
        <v>8100</v>
      </c>
      <c r="AP36" s="222"/>
      <c r="AQ36" s="532">
        <f t="shared" si="122"/>
        <v>2700</v>
      </c>
      <c r="AR36" s="492">
        <f t="shared" si="123"/>
        <v>2700</v>
      </c>
      <c r="AS36" s="492">
        <f t="shared" si="124"/>
        <v>2700</v>
      </c>
      <c r="AT36" s="492">
        <f t="shared" si="101"/>
        <v>8100</v>
      </c>
      <c r="AU36" s="222"/>
      <c r="AV36" s="617"/>
      <c r="AW36" s="532">
        <f t="shared" si="125"/>
        <v>2700</v>
      </c>
      <c r="AX36" s="492">
        <f t="shared" si="126"/>
        <v>2700</v>
      </c>
      <c r="AY36" s="492">
        <f t="shared" si="127"/>
        <v>2700</v>
      </c>
      <c r="AZ36" s="492">
        <f t="shared" si="102"/>
        <v>8100</v>
      </c>
      <c r="BA36" s="222"/>
      <c r="BB36" s="532">
        <f t="shared" si="128"/>
        <v>2700</v>
      </c>
      <c r="BC36" s="492">
        <f>L36</f>
        <v>2700</v>
      </c>
      <c r="BD36" s="492">
        <f t="shared" si="130"/>
        <v>2700</v>
      </c>
      <c r="BE36" s="492">
        <f t="shared" si="103"/>
        <v>8100</v>
      </c>
      <c r="BF36" s="222"/>
      <c r="BG36" s="532">
        <f t="shared" si="131"/>
        <v>2700</v>
      </c>
      <c r="BH36" s="492">
        <f t="shared" si="132"/>
        <v>2700</v>
      </c>
      <c r="BI36" s="492">
        <f t="shared" si="133"/>
        <v>2700</v>
      </c>
      <c r="BJ36" s="492">
        <f t="shared" si="104"/>
        <v>8100</v>
      </c>
      <c r="BK36" s="222"/>
      <c r="BL36" s="532">
        <f t="shared" si="134"/>
        <v>2700</v>
      </c>
      <c r="BM36" s="492">
        <f t="shared" si="135"/>
        <v>2700</v>
      </c>
      <c r="BN36" s="492">
        <f t="shared" si="136"/>
        <v>2700</v>
      </c>
      <c r="BO36" s="492">
        <f t="shared" si="105"/>
        <v>8100</v>
      </c>
      <c r="BP36" s="222"/>
      <c r="BQ36" s="221"/>
      <c r="BR36" s="532">
        <f t="shared" si="137"/>
        <v>2700</v>
      </c>
      <c r="BS36" s="492">
        <f t="shared" si="138"/>
        <v>2700</v>
      </c>
      <c r="BT36" s="492">
        <f t="shared" si="139"/>
        <v>2700</v>
      </c>
      <c r="BU36" s="492">
        <f t="shared" si="106"/>
        <v>8100</v>
      </c>
      <c r="BV36" s="222"/>
      <c r="BW36" s="532">
        <f t="shared" si="140"/>
        <v>2700</v>
      </c>
      <c r="BX36" s="492">
        <f t="shared" si="141"/>
        <v>2700</v>
      </c>
      <c r="BY36" s="492">
        <f t="shared" si="142"/>
        <v>2700</v>
      </c>
      <c r="BZ36" s="492">
        <f t="shared" si="107"/>
        <v>8100</v>
      </c>
      <c r="CA36" s="222"/>
      <c r="CB36" s="532">
        <f t="shared" si="143"/>
        <v>2700</v>
      </c>
      <c r="CC36" s="492">
        <f t="shared" si="144"/>
        <v>2700</v>
      </c>
      <c r="CD36" s="492">
        <f t="shared" si="145"/>
        <v>2700</v>
      </c>
      <c r="CE36" s="492">
        <f t="shared" si="108"/>
        <v>8100</v>
      </c>
      <c r="CF36" s="222"/>
      <c r="CG36" s="532">
        <f t="shared" si="146"/>
        <v>2700</v>
      </c>
      <c r="CH36" s="492">
        <f t="shared" si="147"/>
        <v>2700</v>
      </c>
      <c r="CI36" s="492">
        <f t="shared" si="148"/>
        <v>2700</v>
      </c>
      <c r="CJ36" s="492">
        <f t="shared" si="109"/>
        <v>8100</v>
      </c>
      <c r="CK36" s="222"/>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row>
    <row r="37" spans="1:179" s="57" customFormat="1" ht="9.75" customHeight="1" x14ac:dyDescent="0.15">
      <c r="A37" s="488" t="s">
        <v>157</v>
      </c>
      <c r="B37" s="145">
        <v>0.3</v>
      </c>
      <c r="C37" s="126">
        <v>-1.4999999999999999E-2</v>
      </c>
      <c r="D37" s="146"/>
      <c r="E37" s="241"/>
      <c r="F37" s="491">
        <f>SUM((IF(AE21*((0*(IF(ISBLANK(E37),C37,E37)))+IF(ISBLANK(D37),B37,D37)) &lt; 0, 0, (AE21*((0*(IF(ISBLANK(E37),C37,E37)))+IF(ISBLANK(D37),B37,D37)))))/3)</f>
        <v>0</v>
      </c>
      <c r="G37" s="492">
        <f>SUM((IF(AJ21*((0*(IF(ISBLANK(E37),C37,E37)))+IF(ISBLANK(D37),B37,D37)) &lt; 0, 0, (AJ21*((0*(IF(ISBLANK(E37),C37,E37)))+IF(ISBLANK(D37),B37,D37)))))/3)</f>
        <v>0</v>
      </c>
      <c r="H37" s="492">
        <f>SUM((IF(AO21*((0*(IF(ISBLANK(E37),C37,E37)))+IF(ISBLANK(D37),B37,D37)) &lt; 0, 0, (AO21*((0*(IF(ISBLANK(E37),C37,E37)))+IF(ISBLANK(D37),B37,D37)))))/3)</f>
        <v>0</v>
      </c>
      <c r="I37" s="492">
        <f>SUM((IF(AT21*((1*(IF(ISBLANK(E37),C37,E37)))+IF(ISBLANK(D37),B37,D37)) &lt; 0, 0, (AT21*((1*(IF(ISBLANK(E37),C37,E37)))+IF(ISBLANK(D37),B37,D37)))))/3)</f>
        <v>0</v>
      </c>
      <c r="J37" s="217">
        <f t="shared" si="110"/>
        <v>0</v>
      </c>
      <c r="K37" s="492">
        <f>SUM((IF(AZ21*((2*(IF(ISBLANK(E37),C37,E37)))+IF(ISBLANK(D37),B37,D37)) &lt; 0, 0, (AZ21*((2*(IF(ISBLANK(E37),C37,E37)))+IF(ISBLANK(D37),B37,D37)))))/3)</f>
        <v>0</v>
      </c>
      <c r="L37" s="492">
        <f>SUM((IF(BE21*((3*(IF(ISBLANK(E37),C37,E37)))+IF(ISBLANK(D37),B37,D37)) &lt; 0, 0, (BE21*((3*(IF(ISBLANK(E37),C37,E37)))+IF(ISBLANK(D37),B37,D37)))))/3)</f>
        <v>0</v>
      </c>
      <c r="M37" s="492">
        <f>SUM((IF(BJ21*((4*(IF(ISBLANK(E37),C37,E37)))+IF(ISBLANK(D37),B37,D37)) &lt; 0, 0, (BJ21*((4*(IF(ISBLANK(E37),C37,E37)))+IF(ISBLANK(D37),B37,D37)))))/3)</f>
        <v>0</v>
      </c>
      <c r="N37" s="492">
        <f>SUM((IF(BO21*((5*(IF(ISBLANK(E37),C37,E37)))+IF(ISBLANK(D37),B37,D37)) &lt; 0, 0, (BO21*((5*(IF(ISBLANK(E37),C37,E37)))+IF(ISBLANK(D37),B37,D37)))))/3)</f>
        <v>0</v>
      </c>
      <c r="O37" s="217">
        <f t="shared" si="111"/>
        <v>0</v>
      </c>
      <c r="P37" s="492">
        <f>SUM((IF(BU21*((6*(IF(ISBLANK(E37),C37,E37)))+IF(ISBLANK(D37),B37,D37)) &lt; 0, 0, (BU21*((6*(IF(ISBLANK(E37),C37,E37)))+IF(ISBLANK(D37),B37,D37)))))/3)</f>
        <v>0</v>
      </c>
      <c r="Q37" s="492">
        <f>SUM((IF(BZ21*((7*(IF(ISBLANK(E37),C37,E37)))+IF(ISBLANK(D37),B37,D37)) &lt; 0, 0, (BZ21*((7*(IF(ISBLANK(E37),C37,E37)))+IF(ISBLANK(D37),B37,D37)))))/3)</f>
        <v>0</v>
      </c>
      <c r="R37" s="492">
        <f>SUM((IF(CE21*((8*(IF(ISBLANK(E37),C37,E37)))+IF(ISBLANK(D37),B37,D37)) &lt; 0, 0, (CE21*((8*(IF(ISBLANK(E37),C37,E37)))+IF(ISBLANK(D37),B37,D37)))))/3)</f>
        <v>0</v>
      </c>
      <c r="S37" s="492">
        <f>SUM((IF(CJ21*((9*(IF(ISBLANK(E37),C37,E37)))+IF(ISBLANK(D37),B37,D37)) &lt; 0, 0, (CJ21*((9*(IF(ISBLANK(E37),C37,E37)))+IF(ISBLANK(D37),B37,D37)))))/3)</f>
        <v>0</v>
      </c>
      <c r="T37" s="218">
        <f t="shared" si="112"/>
        <v>0</v>
      </c>
      <c r="U37" s="221"/>
      <c r="V37" s="555">
        <f>SUM((IF((V21*V18)*((10*(IF(ISBLANK(E37),C37,E37)))+IF(ISBLANK(D37),B37,D37)) &lt; 0, 0, ((V21*V18)*((10*(IF(ISBLANK(E37),C37,E37)))+IF(ISBLANK(D37),B37,D37))))))</f>
        <v>0</v>
      </c>
      <c r="W37" s="416">
        <f>SUM((IF((W21*W18)*((10*(IF(ISBLANK(E37),C37,E37)))+IF(ISBLANK(D37),B37,D37)) &lt; 0, 0, ((W21*W18)*((10*(IF(ISBLANK(E37),C37,E37)))+IF(ISBLANK(D37),B37,D37))))))</f>
        <v>0</v>
      </c>
      <c r="X37" s="556">
        <f>SUM((IF((X21*X18)*((10*(IF(ISBLANK(E37),C37,E37)))+IF(ISBLANK(D37),B37,D37)) &lt; 0, 0, ((X21*X18)*((10*(IF(ISBLANK(E37),C37,E37)))+IF(ISBLANK(D37),B37,D37))))))</f>
        <v>0</v>
      </c>
      <c r="Y37" s="221"/>
      <c r="Z37" s="578">
        <v>0</v>
      </c>
      <c r="AA37" s="617"/>
      <c r="AB37" s="532">
        <f t="shared" si="113"/>
        <v>0</v>
      </c>
      <c r="AC37" s="492">
        <f t="shared" si="114"/>
        <v>0</v>
      </c>
      <c r="AD37" s="492">
        <f t="shared" si="115"/>
        <v>0</v>
      </c>
      <c r="AE37" s="492">
        <f>SUM(AB37:AD37)</f>
        <v>0</v>
      </c>
      <c r="AF37" s="222"/>
      <c r="AG37" s="532">
        <f t="shared" si="116"/>
        <v>0</v>
      </c>
      <c r="AH37" s="492">
        <f t="shared" si="117"/>
        <v>0</v>
      </c>
      <c r="AI37" s="492">
        <f t="shared" si="118"/>
        <v>0</v>
      </c>
      <c r="AJ37" s="492">
        <f>SUM(AG37:AI37)</f>
        <v>0</v>
      </c>
      <c r="AK37" s="222"/>
      <c r="AL37" s="532">
        <f t="shared" si="119"/>
        <v>0</v>
      </c>
      <c r="AM37" s="492">
        <f t="shared" si="120"/>
        <v>0</v>
      </c>
      <c r="AN37" s="492">
        <f t="shared" si="121"/>
        <v>0</v>
      </c>
      <c r="AO37" s="492">
        <f>SUM(AL37:AN37)</f>
        <v>0</v>
      </c>
      <c r="AP37" s="222"/>
      <c r="AQ37" s="532">
        <f t="shared" si="122"/>
        <v>0</v>
      </c>
      <c r="AR37" s="492">
        <f t="shared" si="123"/>
        <v>0</v>
      </c>
      <c r="AS37" s="492">
        <f t="shared" si="124"/>
        <v>0</v>
      </c>
      <c r="AT37" s="492">
        <f>SUM(AQ37:AS37)</f>
        <v>0</v>
      </c>
      <c r="AU37" s="222"/>
      <c r="AV37" s="617"/>
      <c r="AW37" s="532">
        <f t="shared" si="125"/>
        <v>0</v>
      </c>
      <c r="AX37" s="492">
        <f t="shared" si="126"/>
        <v>0</v>
      </c>
      <c r="AY37" s="492">
        <f t="shared" si="127"/>
        <v>0</v>
      </c>
      <c r="AZ37" s="492">
        <f>SUM(AW37:AY37)</f>
        <v>0</v>
      </c>
      <c r="BA37" s="222"/>
      <c r="BB37" s="532">
        <f t="shared" si="128"/>
        <v>0</v>
      </c>
      <c r="BC37" s="492">
        <f>L37</f>
        <v>0</v>
      </c>
      <c r="BD37" s="492">
        <f t="shared" si="130"/>
        <v>0</v>
      </c>
      <c r="BE37" s="492">
        <f>SUM(BB37:BD37)</f>
        <v>0</v>
      </c>
      <c r="BF37" s="222"/>
      <c r="BG37" s="532">
        <f t="shared" si="131"/>
        <v>0</v>
      </c>
      <c r="BH37" s="492">
        <f t="shared" si="132"/>
        <v>0</v>
      </c>
      <c r="BI37" s="492">
        <f t="shared" si="133"/>
        <v>0</v>
      </c>
      <c r="BJ37" s="492">
        <f>SUM(BG37:BI37)</f>
        <v>0</v>
      </c>
      <c r="BK37" s="222"/>
      <c r="BL37" s="532">
        <f t="shared" si="134"/>
        <v>0</v>
      </c>
      <c r="BM37" s="492">
        <f t="shared" si="135"/>
        <v>0</v>
      </c>
      <c r="BN37" s="492">
        <f t="shared" si="136"/>
        <v>0</v>
      </c>
      <c r="BO37" s="492">
        <f>SUM(BL37:BN37)</f>
        <v>0</v>
      </c>
      <c r="BP37" s="222"/>
      <c r="BQ37" s="221"/>
      <c r="BR37" s="532">
        <f t="shared" si="137"/>
        <v>0</v>
      </c>
      <c r="BS37" s="492">
        <f t="shared" si="138"/>
        <v>0</v>
      </c>
      <c r="BT37" s="492">
        <f t="shared" si="139"/>
        <v>0</v>
      </c>
      <c r="BU37" s="492">
        <f>SUM(BR37:BT37)</f>
        <v>0</v>
      </c>
      <c r="BV37" s="222"/>
      <c r="BW37" s="532">
        <f t="shared" si="140"/>
        <v>0</v>
      </c>
      <c r="BX37" s="492">
        <f t="shared" si="141"/>
        <v>0</v>
      </c>
      <c r="BY37" s="492">
        <f t="shared" si="142"/>
        <v>0</v>
      </c>
      <c r="BZ37" s="492">
        <f>SUM(BW37:BY37)</f>
        <v>0</v>
      </c>
      <c r="CA37" s="222"/>
      <c r="CB37" s="532">
        <f t="shared" si="143"/>
        <v>0</v>
      </c>
      <c r="CC37" s="492">
        <f t="shared" si="144"/>
        <v>0</v>
      </c>
      <c r="CD37" s="492">
        <f t="shared" si="145"/>
        <v>0</v>
      </c>
      <c r="CE37" s="492">
        <f>SUM(CB37:CD37)</f>
        <v>0</v>
      </c>
      <c r="CF37" s="222"/>
      <c r="CG37" s="532">
        <f t="shared" si="146"/>
        <v>0</v>
      </c>
      <c r="CH37" s="492">
        <f t="shared" si="147"/>
        <v>0</v>
      </c>
      <c r="CI37" s="492">
        <f t="shared" si="148"/>
        <v>0</v>
      </c>
      <c r="CJ37" s="492">
        <f>SUM(CG37:CI37)</f>
        <v>0</v>
      </c>
      <c r="CK37" s="222"/>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row>
    <row r="38" spans="1:179" s="57" customFormat="1" ht="9.75" customHeight="1" x14ac:dyDescent="0.15">
      <c r="A38" s="488" t="s">
        <v>158</v>
      </c>
      <c r="B38" s="239">
        <v>3000</v>
      </c>
      <c r="C38" s="218">
        <v>5000</v>
      </c>
      <c r="D38" s="240"/>
      <c r="E38" s="243"/>
      <c r="F38" s="491">
        <f>SUM((IF(ISBLANK(D38),B38,D38)))</f>
        <v>3000</v>
      </c>
      <c r="G38" s="492">
        <f>SUM((IF(ISBLANK(D38),B38,D38)))</f>
        <v>3000</v>
      </c>
      <c r="H38" s="492">
        <f>SUM((IF(ISBLANK(D38),B38,D38)))</f>
        <v>3000</v>
      </c>
      <c r="I38" s="492">
        <f>SUM((IF(ISBLANK(D38),B38,D38)))</f>
        <v>3000</v>
      </c>
      <c r="J38" s="217">
        <f t="shared" si="110"/>
        <v>36000</v>
      </c>
      <c r="K38" s="492">
        <f>SUM((IF(ISBLANK(D38),B38,D38))+(IF(ISBLANK(E38),C38,E38)))</f>
        <v>8000</v>
      </c>
      <c r="L38" s="492">
        <f>SUM((IF(ISBLANK(D38),B38,D38))+(IF(ISBLANK(E38),C38,E38)))</f>
        <v>8000</v>
      </c>
      <c r="M38" s="492">
        <f>SUM((IF(ISBLANK(D38),B38,D38))+(IF(ISBLANK(E38),C38,E38)))</f>
        <v>8000</v>
      </c>
      <c r="N38" s="492">
        <f>SUM((IF(ISBLANK(D38),B38,D38))+(IF(ISBLANK(E38),C38,E38)))</f>
        <v>8000</v>
      </c>
      <c r="O38" s="217">
        <f t="shared" si="111"/>
        <v>96000</v>
      </c>
      <c r="P38" s="492">
        <f>SUM((IF(ISBLANK(D38),B38,D38))+(IF(ISBLANK(E38),C38,E38)))</f>
        <v>8000</v>
      </c>
      <c r="Q38" s="492">
        <f>SUM((IF(ISBLANK(D38),B38,D38))+(IF(ISBLANK(E38),C38,E38)))</f>
        <v>8000</v>
      </c>
      <c r="R38" s="492">
        <f>SUM((IF(ISBLANK(D38),B38,D38))+(IF(ISBLANK(E38),C38,E38)))</f>
        <v>8000</v>
      </c>
      <c r="S38" s="492">
        <f>SUM((IF(ISBLANK(D38),B38,D38))+(IF(ISBLANK(E38),C38,E38)))</f>
        <v>8000</v>
      </c>
      <c r="T38" s="218">
        <f t="shared" si="112"/>
        <v>96000</v>
      </c>
      <c r="U38" s="221"/>
      <c r="V38" s="555">
        <f>SUM(S38*12)</f>
        <v>96000</v>
      </c>
      <c r="W38" s="416">
        <f>SUM(S38*12)</f>
        <v>96000</v>
      </c>
      <c r="X38" s="556">
        <f>SUM(S38*12)</f>
        <v>96000</v>
      </c>
      <c r="Y38" s="221"/>
      <c r="Z38" s="578">
        <v>45000</v>
      </c>
      <c r="AA38" s="617"/>
      <c r="AB38" s="532">
        <f t="shared" si="113"/>
        <v>3000</v>
      </c>
      <c r="AC38" s="492">
        <f t="shared" si="114"/>
        <v>3000</v>
      </c>
      <c r="AD38" s="492">
        <f t="shared" si="115"/>
        <v>3000</v>
      </c>
      <c r="AE38" s="492">
        <f t="shared" si="98"/>
        <v>9000</v>
      </c>
      <c r="AF38" s="222"/>
      <c r="AG38" s="532">
        <f t="shared" si="116"/>
        <v>3000</v>
      </c>
      <c r="AH38" s="492">
        <f t="shared" si="117"/>
        <v>3000</v>
      </c>
      <c r="AI38" s="492">
        <f t="shared" si="118"/>
        <v>3000</v>
      </c>
      <c r="AJ38" s="492">
        <f t="shared" si="99"/>
        <v>9000</v>
      </c>
      <c r="AK38" s="222"/>
      <c r="AL38" s="532">
        <f t="shared" si="119"/>
        <v>3000</v>
      </c>
      <c r="AM38" s="492">
        <f t="shared" si="120"/>
        <v>3000</v>
      </c>
      <c r="AN38" s="492">
        <f t="shared" si="121"/>
        <v>3000</v>
      </c>
      <c r="AO38" s="492">
        <f t="shared" si="100"/>
        <v>9000</v>
      </c>
      <c r="AP38" s="222"/>
      <c r="AQ38" s="532">
        <f t="shared" si="122"/>
        <v>3000</v>
      </c>
      <c r="AR38" s="492">
        <f t="shared" si="123"/>
        <v>3000</v>
      </c>
      <c r="AS38" s="492">
        <f t="shared" si="124"/>
        <v>3000</v>
      </c>
      <c r="AT38" s="492">
        <f t="shared" si="101"/>
        <v>9000</v>
      </c>
      <c r="AU38" s="222"/>
      <c r="AV38" s="617"/>
      <c r="AW38" s="532">
        <f t="shared" si="125"/>
        <v>8000</v>
      </c>
      <c r="AX38" s="492">
        <f t="shared" si="126"/>
        <v>8000</v>
      </c>
      <c r="AY38" s="492">
        <f t="shared" si="127"/>
        <v>8000</v>
      </c>
      <c r="AZ38" s="492">
        <f t="shared" si="102"/>
        <v>24000</v>
      </c>
      <c r="BA38" s="222"/>
      <c r="BB38" s="532">
        <f t="shared" si="128"/>
        <v>8000</v>
      </c>
      <c r="BC38" s="492">
        <f t="shared" si="129"/>
        <v>8000</v>
      </c>
      <c r="BD38" s="492">
        <f t="shared" si="130"/>
        <v>8000</v>
      </c>
      <c r="BE38" s="492">
        <f t="shared" si="103"/>
        <v>24000</v>
      </c>
      <c r="BF38" s="222"/>
      <c r="BG38" s="532">
        <f t="shared" si="131"/>
        <v>8000</v>
      </c>
      <c r="BH38" s="492">
        <f t="shared" si="132"/>
        <v>8000</v>
      </c>
      <c r="BI38" s="492">
        <f t="shared" si="133"/>
        <v>8000</v>
      </c>
      <c r="BJ38" s="492">
        <f t="shared" si="104"/>
        <v>24000</v>
      </c>
      <c r="BK38" s="222"/>
      <c r="BL38" s="532">
        <f t="shared" si="134"/>
        <v>8000</v>
      </c>
      <c r="BM38" s="492">
        <f t="shared" si="135"/>
        <v>8000</v>
      </c>
      <c r="BN38" s="492">
        <f t="shared" si="136"/>
        <v>8000</v>
      </c>
      <c r="BO38" s="492">
        <f t="shared" si="105"/>
        <v>24000</v>
      </c>
      <c r="BP38" s="222"/>
      <c r="BQ38" s="221"/>
      <c r="BR38" s="532">
        <f t="shared" si="137"/>
        <v>8000</v>
      </c>
      <c r="BS38" s="492">
        <f t="shared" si="138"/>
        <v>8000</v>
      </c>
      <c r="BT38" s="492">
        <f t="shared" si="139"/>
        <v>8000</v>
      </c>
      <c r="BU38" s="492">
        <f t="shared" si="106"/>
        <v>24000</v>
      </c>
      <c r="BV38" s="222"/>
      <c r="BW38" s="532">
        <f t="shared" si="140"/>
        <v>8000</v>
      </c>
      <c r="BX38" s="492">
        <f t="shared" si="141"/>
        <v>8000</v>
      </c>
      <c r="BY38" s="492">
        <f t="shared" si="142"/>
        <v>8000</v>
      </c>
      <c r="BZ38" s="492">
        <f t="shared" si="107"/>
        <v>24000</v>
      </c>
      <c r="CA38" s="222"/>
      <c r="CB38" s="532">
        <f t="shared" si="143"/>
        <v>8000</v>
      </c>
      <c r="CC38" s="492">
        <f t="shared" si="144"/>
        <v>8000</v>
      </c>
      <c r="CD38" s="492">
        <f t="shared" si="145"/>
        <v>8000</v>
      </c>
      <c r="CE38" s="492">
        <f t="shared" si="108"/>
        <v>24000</v>
      </c>
      <c r="CF38" s="222"/>
      <c r="CG38" s="532">
        <f t="shared" si="146"/>
        <v>8000</v>
      </c>
      <c r="CH38" s="492">
        <f t="shared" si="147"/>
        <v>8000</v>
      </c>
      <c r="CI38" s="492">
        <f t="shared" si="148"/>
        <v>8000</v>
      </c>
      <c r="CJ38" s="492">
        <f t="shared" si="109"/>
        <v>24000</v>
      </c>
      <c r="CK38" s="222"/>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row>
    <row r="39" spans="1:179" s="57" customFormat="1" ht="9.75" customHeight="1" x14ac:dyDescent="0.15">
      <c r="A39" s="488" t="s">
        <v>193</v>
      </c>
      <c r="B39" s="145">
        <v>0.2</v>
      </c>
      <c r="C39" s="126">
        <v>0</v>
      </c>
      <c r="D39" s="146"/>
      <c r="E39" s="241"/>
      <c r="F39" s="226">
        <v>0</v>
      </c>
      <c r="G39" s="492">
        <f>IF(IF(F30&gt;0,F30*((0*(IF(ISBLANK(E39),C39,E39)))+(IF(ISBLANK(D39),B39,D39))),0)&lt;0,0,IF(F30&gt;0,F30*((0*(IF(ISBLANK(E39),C39,E39)))+(IF(ISBLANK(D39),B39,D39))),0))/3</f>
        <v>0</v>
      </c>
      <c r="H39" s="492">
        <f>IF(IF(G30&gt;0,G30*((0*(IF(ISBLANK(E39),C39,E39)))+(IF(ISBLANK(D39),B39,D39))),0)&lt;0,0,IF(G30&gt;0,G30*((0*(IF(ISBLANK(E39),C39,E39)))+(IF(ISBLANK(D39),B39,D39))),0))/3</f>
        <v>0</v>
      </c>
      <c r="I39" s="492">
        <f>IF(IF(H30&gt;0,H30*((1*(IF(ISBLANK(E39),C39,E39)))+(IF(ISBLANK(D39),B39,D39))),0)&lt;0,0,IF(H30&gt;0,H30*((1*(IF(ISBLANK(E39),C39,E39)))+(IF(ISBLANK(D39),B39,D39))),0))/3</f>
        <v>0</v>
      </c>
      <c r="J39" s="217">
        <f t="shared" si="110"/>
        <v>0</v>
      </c>
      <c r="K39" s="492">
        <f>IF(IF(I30&gt;0,I30*((2*(IF(ISBLANK(E39),C39,E39)))+(IF(ISBLANK(D39),B39,D39))),0)&lt;0,0,IF(I30&gt;0,I30*((2*(IF(ISBLANK(E39),C39,E39)))+(IF(ISBLANK(D39),B39,D39))),0))/3</f>
        <v>0</v>
      </c>
      <c r="L39" s="492">
        <f>IF(IF(K30&gt;0,K30*((3*(IF(ISBLANK(E39),C39,E39)))+(IF(ISBLANK(D39),B39,D39))),0)&lt;0,0,IF(K30&gt;0,K30*((3*(IF(ISBLANK(E39),C39,E39)))+(IF(ISBLANK(D39),B39,D39))),0))/3</f>
        <v>0</v>
      </c>
      <c r="M39" s="492">
        <f>IF(IF(L30&gt;0,L30*((4*(IF(ISBLANK(E39),C39,E39)))+(IF(ISBLANK(D39),B39,D39))),0)&lt;0,0,IF(L30&gt;0,L30*((4*(IF(ISBLANK(E39),C39,E39)))+(IF(ISBLANK(D39),B39,D39))),0))/3</f>
        <v>0</v>
      </c>
      <c r="N39" s="492">
        <f>IF(IF(M30&gt;0,M30*((5*(IF(ISBLANK(E39),C39,E39)))+(IF(ISBLANK(D39),B39,D39))),0)&lt;0,0,IF(M30&gt;0,M30*((5*(IF(ISBLANK(E39),C39,E39)))+(IF(ISBLANK(D39),B39,D39))),0))/3</f>
        <v>0</v>
      </c>
      <c r="O39" s="217">
        <f t="shared" si="111"/>
        <v>0</v>
      </c>
      <c r="P39" s="492">
        <f>IF(IF(N30&gt;0,N30*((6*(IF(ISBLANK(E39),C39,E39)))+(IF(ISBLANK(D39),B39,D39))),0)&lt;0,0,IF(N30&gt;0,N30*((6*(IF(ISBLANK(E39),C39,E39)))+(IF(ISBLANK(D39),B39,D39))),0))/3</f>
        <v>0</v>
      </c>
      <c r="Q39" s="492">
        <f>IF(IF(P30&gt;0,P30*((7*(IF(ISBLANK(E39),C39,E39)))+(IF(ISBLANK(D39),B39,D39))),0)&lt;0,0,IF(P30&gt;0,P30*((7*(IF(ISBLANK(E39),C39,E39)))+(IF(ISBLANK(D39),B39,D39))),0))/3</f>
        <v>0</v>
      </c>
      <c r="R39" s="492">
        <f>IF(IF(Q30&gt;0,Q30*((8*(IF(ISBLANK(E39),C39,E39)))+(IF(ISBLANK(D39),B39,D39))),0)&lt;0,0,IF(Q30&gt;0,Q30*((8*(IF(ISBLANK(E39),C39,E39)))+(IF(ISBLANK(D39),B39,D39))),0))/3</f>
        <v>0</v>
      </c>
      <c r="S39" s="492">
        <f>IF(IF(R30&gt;0,R30*((9*(IF(ISBLANK(E39),C39,E39)))+(IF(ISBLANK(D39),B39,D39))),0)&lt;0,0,IF(R30&gt;0,R30*((9*(IF(ISBLANK(E39),C39,E39)))+(IF(ISBLANK(D39),B39,D39))),0))/3</f>
        <v>0</v>
      </c>
      <c r="T39" s="218">
        <f t="shared" si="112"/>
        <v>0</v>
      </c>
      <c r="U39" s="221"/>
      <c r="V39" s="555">
        <f>SUM((V30*(IF(ISBLANK(D39),B39,D39)+(10*IF(ISBLANK(E39),C39,E39))))+(S30*(IF(ISBLANK(D39),B39,D39)+(10*IF(ISBLANK(E39),C39,E39)))))</f>
        <v>0</v>
      </c>
      <c r="W39" s="416">
        <f>SUM((W30*(IF(ISBLANK(D39),B39,D39)+(11*IF(ISBLANK(E39),C39,E39)))))</f>
        <v>0</v>
      </c>
      <c r="X39" s="556">
        <f>SUM((X30*(IF(ISBLANK(D39),B39,D39)+(12*IF(ISBLANK(E39),C39,E39)))))</f>
        <v>0</v>
      </c>
      <c r="Y39" s="221"/>
      <c r="Z39" s="578">
        <v>0</v>
      </c>
      <c r="AA39" s="617"/>
      <c r="AB39" s="532">
        <f>F39</f>
        <v>0</v>
      </c>
      <c r="AC39" s="492">
        <f>F39</f>
        <v>0</v>
      </c>
      <c r="AD39" s="492">
        <f>F39</f>
        <v>0</v>
      </c>
      <c r="AE39" s="492">
        <f t="shared" si="98"/>
        <v>0</v>
      </c>
      <c r="AF39" s="222"/>
      <c r="AG39" s="532">
        <f>G39</f>
        <v>0</v>
      </c>
      <c r="AH39" s="492">
        <f>G39</f>
        <v>0</v>
      </c>
      <c r="AI39" s="492">
        <f>G39</f>
        <v>0</v>
      </c>
      <c r="AJ39" s="492">
        <f t="shared" si="99"/>
        <v>0</v>
      </c>
      <c r="AK39" s="222"/>
      <c r="AL39" s="532">
        <f>H39</f>
        <v>0</v>
      </c>
      <c r="AM39" s="492">
        <f>H39</f>
        <v>0</v>
      </c>
      <c r="AN39" s="492">
        <f>H39</f>
        <v>0</v>
      </c>
      <c r="AO39" s="492">
        <f t="shared" si="100"/>
        <v>0</v>
      </c>
      <c r="AP39" s="222"/>
      <c r="AQ39" s="532">
        <f>I39</f>
        <v>0</v>
      </c>
      <c r="AR39" s="492">
        <f>I39</f>
        <v>0</v>
      </c>
      <c r="AS39" s="492">
        <f>I39</f>
        <v>0</v>
      </c>
      <c r="AT39" s="492">
        <f t="shared" si="101"/>
        <v>0</v>
      </c>
      <c r="AU39" s="222"/>
      <c r="AV39" s="617"/>
      <c r="AW39" s="532">
        <f>K39</f>
        <v>0</v>
      </c>
      <c r="AX39" s="492">
        <f>K39</f>
        <v>0</v>
      </c>
      <c r="AY39" s="492">
        <f>K39</f>
        <v>0</v>
      </c>
      <c r="AZ39" s="492">
        <f t="shared" si="102"/>
        <v>0</v>
      </c>
      <c r="BA39" s="222"/>
      <c r="BB39" s="532">
        <f>L39</f>
        <v>0</v>
      </c>
      <c r="BC39" s="492">
        <f>L39</f>
        <v>0</v>
      </c>
      <c r="BD39" s="492">
        <f>L39</f>
        <v>0</v>
      </c>
      <c r="BE39" s="492">
        <f t="shared" si="103"/>
        <v>0</v>
      </c>
      <c r="BF39" s="222"/>
      <c r="BG39" s="532">
        <f>M39</f>
        <v>0</v>
      </c>
      <c r="BH39" s="492">
        <f>M39</f>
        <v>0</v>
      </c>
      <c r="BI39" s="492">
        <f>M39</f>
        <v>0</v>
      </c>
      <c r="BJ39" s="492">
        <f t="shared" si="104"/>
        <v>0</v>
      </c>
      <c r="BK39" s="222"/>
      <c r="BL39" s="532">
        <f>N39</f>
        <v>0</v>
      </c>
      <c r="BM39" s="492">
        <f>N39</f>
        <v>0</v>
      </c>
      <c r="BN39" s="492">
        <f>N39</f>
        <v>0</v>
      </c>
      <c r="BO39" s="492">
        <f t="shared" si="105"/>
        <v>0</v>
      </c>
      <c r="BP39" s="222"/>
      <c r="BQ39" s="221"/>
      <c r="BR39" s="532">
        <f>P39</f>
        <v>0</v>
      </c>
      <c r="BS39" s="492">
        <f>P39</f>
        <v>0</v>
      </c>
      <c r="BT39" s="492">
        <f>P39</f>
        <v>0</v>
      </c>
      <c r="BU39" s="492">
        <f t="shared" si="106"/>
        <v>0</v>
      </c>
      <c r="BV39" s="222"/>
      <c r="BW39" s="532">
        <f>Q39</f>
        <v>0</v>
      </c>
      <c r="BX39" s="492">
        <f>Q39</f>
        <v>0</v>
      </c>
      <c r="BY39" s="492">
        <f>Q39</f>
        <v>0</v>
      </c>
      <c r="BZ39" s="492">
        <f t="shared" si="107"/>
        <v>0</v>
      </c>
      <c r="CA39" s="222"/>
      <c r="CB39" s="532">
        <f>R39</f>
        <v>0</v>
      </c>
      <c r="CC39" s="492">
        <f>R39</f>
        <v>0</v>
      </c>
      <c r="CD39" s="492">
        <f>R39</f>
        <v>0</v>
      </c>
      <c r="CE39" s="492">
        <f t="shared" si="108"/>
        <v>0</v>
      </c>
      <c r="CF39" s="222"/>
      <c r="CG39" s="532">
        <f>S39</f>
        <v>0</v>
      </c>
      <c r="CH39" s="492">
        <f>S39</f>
        <v>0</v>
      </c>
      <c r="CI39" s="492">
        <f>S39</f>
        <v>0</v>
      </c>
      <c r="CJ39" s="492">
        <f t="shared" si="109"/>
        <v>0</v>
      </c>
      <c r="CK39" s="222"/>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row>
    <row r="40" spans="1:179" s="57" customFormat="1" ht="9.75" customHeight="1" x14ac:dyDescent="0.15">
      <c r="A40" s="488" t="s">
        <v>194</v>
      </c>
      <c r="B40" s="145">
        <v>0.25</v>
      </c>
      <c r="C40" s="126">
        <v>0</v>
      </c>
      <c r="D40" s="146"/>
      <c r="E40" s="241"/>
      <c r="F40" s="226">
        <v>0</v>
      </c>
      <c r="G40" s="492">
        <f>IF(IF(F49&gt;0,F49*((0*(IF(ISBLANK(E40),C40,E40)))+(IF(ISBLANK(D40),B40,D40))),0)&lt;0,0,IF(F49&gt;0,F49*((0*(IF(ISBLANK(E40),C40,E40)))+(IF(ISBLANK(D40),B40,D40))),0))/3</f>
        <v>0</v>
      </c>
      <c r="H40" s="492">
        <f>IF(IF(G49&gt;0,G49*((0*(IF(ISBLANK(E40),C40,E40)))+(IF(ISBLANK(D40),B40,D40))),0)&lt;0,0,IF(G49&gt;0,G49*((0*(IF(ISBLANK(E40),C40,E40)))+(IF(ISBLANK(D40),B40,D40))),0))/3</f>
        <v>0</v>
      </c>
      <c r="I40" s="492">
        <f>IF(IF(H49&gt;0,H49*((1*(IF(ISBLANK(E40),C40,E40)))+(IF(ISBLANK(D40),B40,D40))),0)&lt;0,0,IF(H49&gt;0,H49*((1*(IF(ISBLANK(E40),C40,E40)))+(IF(ISBLANK(D40),B40,D40))),0))/3</f>
        <v>0</v>
      </c>
      <c r="J40" s="217">
        <f t="shared" si="110"/>
        <v>0</v>
      </c>
      <c r="K40" s="492">
        <f>IF(IF(I49&gt;0,I49*((2*(IF(ISBLANK(E40),C40,E40)))+(IF(ISBLANK(D40),B40,D40))),0)&lt;0,0,IF(I49&gt;0,I49*((2*(IF(ISBLANK(E40),C40,E40)))+(IF(ISBLANK(D40),B40,D40))),0))/3</f>
        <v>0</v>
      </c>
      <c r="L40" s="492">
        <f>IF(IF(K49&gt;0,K49*((3*(IF(ISBLANK(E40),C40,E40)))+(IF(ISBLANK(D40),B40,D40))),0)&lt;0,0,IF(K49&gt;0,K49*((3*(IF(ISBLANK(E40),C40,E40)))+(IF(ISBLANK(D40),B40,D40))),0))/3</f>
        <v>0</v>
      </c>
      <c r="M40" s="492">
        <f>IF(IF(L49&gt;0,L49*((4*(IF(ISBLANK(E40),C40,E40)))+(IF(ISBLANK(D40),B40,D40))),0)&lt;0,0,IF(L49&gt;0,L49*((4*(IF(ISBLANK(E40),C40,E40)))+(IF(ISBLANK(D40),B40,D40))),0))/3</f>
        <v>0</v>
      </c>
      <c r="N40" s="492">
        <f>IF(IF(M49&gt;0,M49*((5*(IF(ISBLANK(E40),C40,E40)))+(IF(ISBLANK(D40),B40,D40))),0)&lt;0,0,IF(M49&gt;0,M49*((5*(IF(ISBLANK(E40),C40,E40)))+(IF(ISBLANK(D40),B40,D40))),0))/3</f>
        <v>0</v>
      </c>
      <c r="O40" s="217">
        <f t="shared" si="111"/>
        <v>0</v>
      </c>
      <c r="P40" s="492">
        <f>IF(IF(N49&gt;0,N49*((6*(IF(ISBLANK(E40),C40,E40)))+(IF(ISBLANK(D40),B40,D40))),0)&lt;0,0,IF(N49&gt;0,N49*((6*(IF(ISBLANK(E40),C40,E40)))+(IF(ISBLANK(D40),B40,D40))),0))/3</f>
        <v>0</v>
      </c>
      <c r="Q40" s="492">
        <f>IF(IF(P49&gt;0,P49*((7*(IF(ISBLANK(E40),C40,E40)))+(IF(ISBLANK(D40),B40,D40))),0)&lt;0,0,IF(P49&gt;0,P49*((7*(IF(ISBLANK(E40),C40,E40)))+(IF(ISBLANK(D40),B40,D40))),0))/3</f>
        <v>0</v>
      </c>
      <c r="R40" s="492">
        <f>IF(IF(Q49&gt;0,Q49*((8*(IF(ISBLANK(E40),C40,E40)))+(IF(ISBLANK(D40),B40,D40))),0)&lt;0,0,IF(Q49&gt;0,Q49*((8*(IF(ISBLANK(E40),C40,E40)))+(IF(ISBLANK(D40),B40,D40))),0))/3</f>
        <v>0</v>
      </c>
      <c r="S40" s="492">
        <f>IF(IF(R49&gt;0,R49*((9*(IF(ISBLANK(E40),C40,E40)))+(IF(ISBLANK(D40),B40,D40))),0)&lt;0,0,IF(R49&gt;0,R49*((9*(IF(ISBLANK(E40),C40,E40)))+(IF(ISBLANK(D40),B40,D40))),0))/3</f>
        <v>0</v>
      </c>
      <c r="T40" s="218">
        <f t="shared" si="112"/>
        <v>0</v>
      </c>
      <c r="U40" s="221"/>
      <c r="V40" s="555">
        <f>SUM(IF(S49&lt;0,0,S49*((10*(IF(ISBLANK(E40),C40,E40)))+(IF(ISBLANK(D40),B40,D40)))))</f>
        <v>0</v>
      </c>
      <c r="W40" s="416">
        <f>SUM(IF(V49&lt;0,0,V49*((11*(IF(ISBLANK(E40),C40,E40)))+(IF(ISBLANK(D40),B40,D40)))))</f>
        <v>0</v>
      </c>
      <c r="X40" s="556">
        <f>SUM(IF(W49&lt;0,0,W49*((12*(IF(ISBLANK(E40),C40,E40)))+(IF(ISBLANK(D40),B40,D40)))))</f>
        <v>0</v>
      </c>
      <c r="Y40" s="221"/>
      <c r="Z40" s="578">
        <v>0</v>
      </c>
      <c r="AA40" s="617"/>
      <c r="AB40" s="532">
        <f>F40</f>
        <v>0</v>
      </c>
      <c r="AC40" s="492">
        <f>F40</f>
        <v>0</v>
      </c>
      <c r="AD40" s="492">
        <f>F40</f>
        <v>0</v>
      </c>
      <c r="AE40" s="492">
        <f t="shared" si="98"/>
        <v>0</v>
      </c>
      <c r="AF40" s="222"/>
      <c r="AG40" s="532">
        <f>G40</f>
        <v>0</v>
      </c>
      <c r="AH40" s="492">
        <f>G40</f>
        <v>0</v>
      </c>
      <c r="AI40" s="492">
        <f>G40</f>
        <v>0</v>
      </c>
      <c r="AJ40" s="492">
        <f t="shared" si="99"/>
        <v>0</v>
      </c>
      <c r="AK40" s="222"/>
      <c r="AL40" s="532">
        <f>H40</f>
        <v>0</v>
      </c>
      <c r="AM40" s="492">
        <f>H40</f>
        <v>0</v>
      </c>
      <c r="AN40" s="492">
        <f>H40</f>
        <v>0</v>
      </c>
      <c r="AO40" s="492">
        <f t="shared" si="100"/>
        <v>0</v>
      </c>
      <c r="AP40" s="222"/>
      <c r="AQ40" s="532">
        <f>I40</f>
        <v>0</v>
      </c>
      <c r="AR40" s="492">
        <f>I40</f>
        <v>0</v>
      </c>
      <c r="AS40" s="492">
        <f>I40</f>
        <v>0</v>
      </c>
      <c r="AT40" s="492">
        <f t="shared" si="101"/>
        <v>0</v>
      </c>
      <c r="AU40" s="222"/>
      <c r="AV40" s="617"/>
      <c r="AW40" s="532">
        <f>K40</f>
        <v>0</v>
      </c>
      <c r="AX40" s="492">
        <f>K40</f>
        <v>0</v>
      </c>
      <c r="AY40" s="492">
        <f>K40</f>
        <v>0</v>
      </c>
      <c r="AZ40" s="492">
        <f t="shared" si="102"/>
        <v>0</v>
      </c>
      <c r="BA40" s="222"/>
      <c r="BB40" s="532">
        <f>L40</f>
        <v>0</v>
      </c>
      <c r="BC40" s="492">
        <f>L40</f>
        <v>0</v>
      </c>
      <c r="BD40" s="492">
        <f>L40</f>
        <v>0</v>
      </c>
      <c r="BE40" s="492">
        <f t="shared" si="103"/>
        <v>0</v>
      </c>
      <c r="BF40" s="222"/>
      <c r="BG40" s="532">
        <f>M40</f>
        <v>0</v>
      </c>
      <c r="BH40" s="492">
        <f>M40</f>
        <v>0</v>
      </c>
      <c r="BI40" s="492">
        <f>M40</f>
        <v>0</v>
      </c>
      <c r="BJ40" s="492">
        <f t="shared" si="104"/>
        <v>0</v>
      </c>
      <c r="BK40" s="222"/>
      <c r="BL40" s="532">
        <f>N40</f>
        <v>0</v>
      </c>
      <c r="BM40" s="492">
        <f>N40</f>
        <v>0</v>
      </c>
      <c r="BN40" s="492">
        <f>N40</f>
        <v>0</v>
      </c>
      <c r="BO40" s="492">
        <f t="shared" si="105"/>
        <v>0</v>
      </c>
      <c r="BP40" s="222"/>
      <c r="BQ40" s="221"/>
      <c r="BR40" s="532">
        <f>P40</f>
        <v>0</v>
      </c>
      <c r="BS40" s="492">
        <f>P40</f>
        <v>0</v>
      </c>
      <c r="BT40" s="492">
        <f>P40</f>
        <v>0</v>
      </c>
      <c r="BU40" s="492">
        <f t="shared" si="106"/>
        <v>0</v>
      </c>
      <c r="BV40" s="222"/>
      <c r="BW40" s="532">
        <f>Q40</f>
        <v>0</v>
      </c>
      <c r="BX40" s="492">
        <f>Q40</f>
        <v>0</v>
      </c>
      <c r="BY40" s="492">
        <f>Q40</f>
        <v>0</v>
      </c>
      <c r="BZ40" s="492">
        <f t="shared" si="107"/>
        <v>0</v>
      </c>
      <c r="CA40" s="222"/>
      <c r="CB40" s="532">
        <f>R40</f>
        <v>0</v>
      </c>
      <c r="CC40" s="492">
        <f>R40</f>
        <v>0</v>
      </c>
      <c r="CD40" s="492">
        <f>R40</f>
        <v>0</v>
      </c>
      <c r="CE40" s="492">
        <f t="shared" si="108"/>
        <v>0</v>
      </c>
      <c r="CF40" s="222"/>
      <c r="CG40" s="532">
        <f>S40</f>
        <v>0</v>
      </c>
      <c r="CH40" s="492">
        <f>S40</f>
        <v>0</v>
      </c>
      <c r="CI40" s="492">
        <f>S40</f>
        <v>0</v>
      </c>
      <c r="CJ40" s="492">
        <f t="shared" si="109"/>
        <v>0</v>
      </c>
      <c r="CK40" s="222"/>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row>
    <row r="41" spans="1:179" s="57" customFormat="1" ht="9.75" customHeight="1" x14ac:dyDescent="0.15">
      <c r="A41" s="488" t="s">
        <v>195</v>
      </c>
      <c r="B41" s="239">
        <v>2500</v>
      </c>
      <c r="C41" s="218">
        <v>750</v>
      </c>
      <c r="D41" s="240"/>
      <c r="E41" s="243"/>
      <c r="F41" s="491">
        <f>IF(ISBLANK(D41),B41,D41)</f>
        <v>2500</v>
      </c>
      <c r="G41" s="492">
        <f>SUM((IF(F49&gt;0,IF(ISBLANK(E41),C41,E41),0)+F41))</f>
        <v>2500</v>
      </c>
      <c r="H41" s="492">
        <f>SUM((IF(G49&gt;0,IF(ISBLANK(E41),C41,E41),0)+G41))</f>
        <v>2500</v>
      </c>
      <c r="I41" s="492">
        <f>SUM((IF(H49&gt;0,IF(ISBLANK(E41),C41,E41),0)+H41))</f>
        <v>2500</v>
      </c>
      <c r="J41" s="217">
        <f t="shared" si="110"/>
        <v>30000</v>
      </c>
      <c r="K41" s="492">
        <f>SUM((IF(I49&gt;0,IF(ISBLANK(E41),C41,E41),0)+I41))</f>
        <v>2500</v>
      </c>
      <c r="L41" s="492">
        <f>SUM((IF(K49&gt;0,IF(ISBLANK(E41),C41,E41),0)+K41))</f>
        <v>2500</v>
      </c>
      <c r="M41" s="492">
        <f>SUM((IF(L49&gt;0,IF(ISBLANK(E41),C41,E41),0)+L41))</f>
        <v>2500</v>
      </c>
      <c r="N41" s="492">
        <f>SUM((IF(M49&gt;0,IF(ISBLANK(E41),C41,E41),0)+M41))</f>
        <v>2500</v>
      </c>
      <c r="O41" s="217">
        <f t="shared" si="111"/>
        <v>30000</v>
      </c>
      <c r="P41" s="492">
        <f>SUM((IF(N49&gt;0,IF(ISBLANK(E41),C41,E41),0)+N41))</f>
        <v>2500</v>
      </c>
      <c r="Q41" s="492">
        <f>SUM((IF(P49&gt;0,IF(ISBLANK(E41),C41,E41),0)+P41))</f>
        <v>2500</v>
      </c>
      <c r="R41" s="492">
        <f>SUM((IF(Q49&gt;0,IF(ISBLANK(E41),C41,E41),0)+Q41))</f>
        <v>2500</v>
      </c>
      <c r="S41" s="492">
        <f>SUM((IF(R49&gt;0,IF(ISBLANK(E41),C41,E41),0)+R41))</f>
        <v>2500</v>
      </c>
      <c r="T41" s="218">
        <f t="shared" si="112"/>
        <v>30000</v>
      </c>
      <c r="U41" s="221"/>
      <c r="V41" s="555">
        <f>SUM((IF(S49&gt;0,IF(ISBLANK(E41),C41,E41),0)+S41))</f>
        <v>2500</v>
      </c>
      <c r="W41" s="416">
        <f>SUM((IF(V49&gt;0,IF(ISBLANK(E41),C41,E41),0)+V41))</f>
        <v>2500</v>
      </c>
      <c r="X41" s="556">
        <f>SUM((IF(W49&gt;0,IF(ISBLANK(E41),C41,E41),0)+W41))</f>
        <v>2500</v>
      </c>
      <c r="Y41" s="221"/>
      <c r="Z41" s="578">
        <v>55000</v>
      </c>
      <c r="AA41" s="617"/>
      <c r="AB41" s="532">
        <f t="shared" si="113"/>
        <v>2500</v>
      </c>
      <c r="AC41" s="492">
        <f t="shared" si="114"/>
        <v>2500</v>
      </c>
      <c r="AD41" s="492">
        <f t="shared" si="115"/>
        <v>2500</v>
      </c>
      <c r="AE41" s="492">
        <f t="shared" si="98"/>
        <v>7500</v>
      </c>
      <c r="AF41" s="222"/>
      <c r="AG41" s="532">
        <f t="shared" si="116"/>
        <v>2500</v>
      </c>
      <c r="AH41" s="492">
        <f>G41</f>
        <v>2500</v>
      </c>
      <c r="AI41" s="492">
        <f>G41</f>
        <v>2500</v>
      </c>
      <c r="AJ41" s="492">
        <f t="shared" si="99"/>
        <v>7500</v>
      </c>
      <c r="AK41" s="222"/>
      <c r="AL41" s="532">
        <f>H41</f>
        <v>2500</v>
      </c>
      <c r="AM41" s="492">
        <f>H41</f>
        <v>2500</v>
      </c>
      <c r="AN41" s="492">
        <f>H41</f>
        <v>2500</v>
      </c>
      <c r="AO41" s="492">
        <f t="shared" si="100"/>
        <v>7500</v>
      </c>
      <c r="AP41" s="222"/>
      <c r="AQ41" s="532">
        <f t="shared" si="122"/>
        <v>2500</v>
      </c>
      <c r="AR41" s="492">
        <f t="shared" si="123"/>
        <v>2500</v>
      </c>
      <c r="AS41" s="492">
        <f t="shared" si="124"/>
        <v>2500</v>
      </c>
      <c r="AT41" s="492">
        <f t="shared" si="101"/>
        <v>7500</v>
      </c>
      <c r="AU41" s="222"/>
      <c r="AV41" s="617"/>
      <c r="AW41" s="532">
        <f t="shared" si="125"/>
        <v>2500</v>
      </c>
      <c r="AX41" s="492">
        <f t="shared" si="126"/>
        <v>2500</v>
      </c>
      <c r="AY41" s="492">
        <f t="shared" si="127"/>
        <v>2500</v>
      </c>
      <c r="AZ41" s="492">
        <f t="shared" si="102"/>
        <v>7500</v>
      </c>
      <c r="BA41" s="222"/>
      <c r="BB41" s="532">
        <f t="shared" si="128"/>
        <v>2500</v>
      </c>
      <c r="BC41" s="492">
        <f t="shared" si="129"/>
        <v>2500</v>
      </c>
      <c r="BD41" s="492">
        <f t="shared" si="130"/>
        <v>2500</v>
      </c>
      <c r="BE41" s="492">
        <f t="shared" si="103"/>
        <v>7500</v>
      </c>
      <c r="BF41" s="222"/>
      <c r="BG41" s="532">
        <f t="shared" si="131"/>
        <v>2500</v>
      </c>
      <c r="BH41" s="492">
        <f t="shared" si="132"/>
        <v>2500</v>
      </c>
      <c r="BI41" s="492">
        <f t="shared" si="133"/>
        <v>2500</v>
      </c>
      <c r="BJ41" s="492">
        <f t="shared" si="104"/>
        <v>7500</v>
      </c>
      <c r="BK41" s="222"/>
      <c r="BL41" s="532">
        <f>N41</f>
        <v>2500</v>
      </c>
      <c r="BM41" s="492">
        <f t="shared" si="135"/>
        <v>2500</v>
      </c>
      <c r="BN41" s="492">
        <f t="shared" si="136"/>
        <v>2500</v>
      </c>
      <c r="BO41" s="492">
        <f t="shared" si="105"/>
        <v>7500</v>
      </c>
      <c r="BP41" s="222"/>
      <c r="BQ41" s="221"/>
      <c r="BR41" s="532">
        <f t="shared" si="137"/>
        <v>2500</v>
      </c>
      <c r="BS41" s="492">
        <f t="shared" si="138"/>
        <v>2500</v>
      </c>
      <c r="BT41" s="492">
        <f t="shared" si="139"/>
        <v>2500</v>
      </c>
      <c r="BU41" s="492">
        <f t="shared" si="106"/>
        <v>7500</v>
      </c>
      <c r="BV41" s="222"/>
      <c r="BW41" s="532">
        <f t="shared" si="140"/>
        <v>2500</v>
      </c>
      <c r="BX41" s="492">
        <f t="shared" si="141"/>
        <v>2500</v>
      </c>
      <c r="BY41" s="492">
        <f t="shared" si="142"/>
        <v>2500</v>
      </c>
      <c r="BZ41" s="492">
        <f t="shared" si="107"/>
        <v>7500</v>
      </c>
      <c r="CA41" s="222"/>
      <c r="CB41" s="532">
        <f t="shared" si="143"/>
        <v>2500</v>
      </c>
      <c r="CC41" s="492">
        <f t="shared" si="144"/>
        <v>2500</v>
      </c>
      <c r="CD41" s="492">
        <f t="shared" si="145"/>
        <v>2500</v>
      </c>
      <c r="CE41" s="492">
        <f t="shared" si="108"/>
        <v>7500</v>
      </c>
      <c r="CF41" s="222"/>
      <c r="CG41" s="532">
        <f t="shared" si="146"/>
        <v>2500</v>
      </c>
      <c r="CH41" s="492">
        <f t="shared" si="147"/>
        <v>2500</v>
      </c>
      <c r="CI41" s="492">
        <f t="shared" si="148"/>
        <v>2500</v>
      </c>
      <c r="CJ41" s="492">
        <f t="shared" si="109"/>
        <v>7500</v>
      </c>
      <c r="CK41" s="222"/>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row>
    <row r="42" spans="1:179" s="57" customFormat="1" ht="9.75" customHeight="1" x14ac:dyDescent="0.15">
      <c r="A42" s="488" t="s">
        <v>196</v>
      </c>
      <c r="B42" s="239">
        <v>2000</v>
      </c>
      <c r="C42" s="214">
        <v>0.01</v>
      </c>
      <c r="D42" s="240"/>
      <c r="E42" s="244"/>
      <c r="F42" s="491">
        <f>SUM((IF(ISBLANK(D42),B42,D42))+(IF(ISBLANK(E42),C42,E42)*F18))</f>
        <v>2021.4585826253456</v>
      </c>
      <c r="G42" s="492">
        <f>SUM((IF(ISBLANK(D42),B42,D42))+(IF(ISBLANK(E42),C42,E42)*G18))</f>
        <v>2051.2152625027347</v>
      </c>
      <c r="H42" s="492">
        <f>SUM((IF(ISBLANK(D42),B42,D42))+(IF(ISBLANK(E42),C42,E42)*H18))</f>
        <v>2167.8813315982484</v>
      </c>
      <c r="I42" s="492">
        <f>SUM((IF(ISBLANK(D42),B42,D42))+(IF(ISBLANK(E42),C42,E42)*I18))</f>
        <v>2267.879652617034</v>
      </c>
      <c r="J42" s="217">
        <f t="shared" si="110"/>
        <v>25525.304488030088</v>
      </c>
      <c r="K42" s="492">
        <f>SUM((IF(ISBLANK(D42),B42,D42))+(IF(ISBLANK(E42),C42,E42)*K18))</f>
        <v>2334.5461406794052</v>
      </c>
      <c r="L42" s="492">
        <f>SUM((IF(ISBLANK(D42),B42,D42))+(IF(ISBLANK(E42),C42,E42)*L18))</f>
        <v>2384.5459733896059</v>
      </c>
      <c r="M42" s="492">
        <f>SUM((IF(ISBLANK(D42),B42,D42))+(IF(ISBLANK(E42),C42,E42)*M18))</f>
        <v>2384.5459733896059</v>
      </c>
      <c r="N42" s="492">
        <f>SUM((IF(ISBLANK(D42),B42,D42))+(IF(ISBLANK(E42),C42,E42)*N18))</f>
        <v>2384.5459733896059</v>
      </c>
      <c r="O42" s="217">
        <f t="shared" si="111"/>
        <v>28464.55218254467</v>
      </c>
      <c r="P42" s="492">
        <f>SUM((IF(ISBLANK(D42),B42,D42))+(IF(ISBLANK(E42),C42,E42)*P18))</f>
        <v>2384.5459733896059</v>
      </c>
      <c r="Q42" s="492">
        <f>SUM((IF(ISBLANK(D42),B42,D42))+(IF(ISBLANK(E42),C42,E42)*Q18))</f>
        <v>2384.5459733896059</v>
      </c>
      <c r="R42" s="492">
        <f>SUM((IF(ISBLANK(D42),B42,D42))+(IF(ISBLANK(E42),C42,E42)*R18))</f>
        <v>2384.5459733896059</v>
      </c>
      <c r="S42" s="492">
        <f>SUM((IF(ISBLANK(D42),B42,D42))+(IF(ISBLANK(E42),C42,E42)*S18))</f>
        <v>2384.5459733896059</v>
      </c>
      <c r="T42" s="218">
        <f t="shared" si="112"/>
        <v>28614.551680675271</v>
      </c>
      <c r="U42" s="221"/>
      <c r="V42" s="555">
        <f>SUM((IF(ISBLANK(D42),B42,D42))+(IF(ISBLANK(E42),C42,E42)*V18))*12</f>
        <v>28614.551680675271</v>
      </c>
      <c r="W42" s="416">
        <f>SUM((IF(ISBLANK(D42),B42,D42))+(IF(ISBLANK(E42),C42,E42)*W18))*12</f>
        <v>28614.551680675271</v>
      </c>
      <c r="X42" s="556">
        <f>SUM((IF(ISBLANK(D42),B42,D42))+(IF(ISBLANK(E42),C42,E42)*X18))*12</f>
        <v>28614.551680675271</v>
      </c>
      <c r="Y42" s="221"/>
      <c r="Z42" s="578">
        <f>SUM(10105+7000)</f>
        <v>17105</v>
      </c>
      <c r="AA42" s="617"/>
      <c r="AB42" s="532">
        <f t="shared" si="113"/>
        <v>2021.4585826253456</v>
      </c>
      <c r="AC42" s="492">
        <f t="shared" si="114"/>
        <v>2021.4585826253456</v>
      </c>
      <c r="AD42" s="492">
        <f t="shared" si="115"/>
        <v>2021.4585826253456</v>
      </c>
      <c r="AE42" s="492">
        <f t="shared" si="98"/>
        <v>6064.3757478760363</v>
      </c>
      <c r="AF42" s="222"/>
      <c r="AG42" s="532">
        <f t="shared" si="116"/>
        <v>2051.2152625027347</v>
      </c>
      <c r="AH42" s="492">
        <f t="shared" si="117"/>
        <v>2051.2152625027347</v>
      </c>
      <c r="AI42" s="492">
        <f t="shared" si="118"/>
        <v>2051.2152625027347</v>
      </c>
      <c r="AJ42" s="492">
        <f t="shared" si="99"/>
        <v>6153.6457875082042</v>
      </c>
      <c r="AK42" s="222"/>
      <c r="AL42" s="532">
        <f t="shared" si="119"/>
        <v>2167.8813315982484</v>
      </c>
      <c r="AM42" s="492">
        <f t="shared" si="120"/>
        <v>2167.8813315982484</v>
      </c>
      <c r="AN42" s="492">
        <f t="shared" si="121"/>
        <v>2167.8813315982484</v>
      </c>
      <c r="AO42" s="492">
        <f t="shared" si="100"/>
        <v>6503.6439947947456</v>
      </c>
      <c r="AP42" s="222"/>
      <c r="AQ42" s="532">
        <f t="shared" si="122"/>
        <v>2267.879652617034</v>
      </c>
      <c r="AR42" s="492">
        <f t="shared" si="123"/>
        <v>2267.879652617034</v>
      </c>
      <c r="AS42" s="492">
        <f t="shared" si="124"/>
        <v>2267.879652617034</v>
      </c>
      <c r="AT42" s="492">
        <f t="shared" si="101"/>
        <v>6803.6389578511025</v>
      </c>
      <c r="AU42" s="222"/>
      <c r="AV42" s="617"/>
      <c r="AW42" s="532">
        <f t="shared" si="125"/>
        <v>2334.5461406794052</v>
      </c>
      <c r="AX42" s="492">
        <f t="shared" si="126"/>
        <v>2334.5461406794052</v>
      </c>
      <c r="AY42" s="492">
        <f t="shared" si="127"/>
        <v>2334.5461406794052</v>
      </c>
      <c r="AZ42" s="492">
        <f t="shared" si="102"/>
        <v>7003.6384220382151</v>
      </c>
      <c r="BA42" s="222"/>
      <c r="BB42" s="532">
        <f t="shared" si="128"/>
        <v>2384.5459733896059</v>
      </c>
      <c r="BC42" s="492">
        <f t="shared" si="129"/>
        <v>2384.5459733896059</v>
      </c>
      <c r="BD42" s="492">
        <f t="shared" si="130"/>
        <v>2384.5459733896059</v>
      </c>
      <c r="BE42" s="492">
        <f t="shared" si="103"/>
        <v>7153.6379201688178</v>
      </c>
      <c r="BF42" s="222"/>
      <c r="BG42" s="532">
        <f t="shared" si="131"/>
        <v>2384.5459733896059</v>
      </c>
      <c r="BH42" s="492">
        <f t="shared" si="132"/>
        <v>2384.5459733896059</v>
      </c>
      <c r="BI42" s="492">
        <f t="shared" si="133"/>
        <v>2384.5459733896059</v>
      </c>
      <c r="BJ42" s="492">
        <f t="shared" si="104"/>
        <v>7153.6379201688178</v>
      </c>
      <c r="BK42" s="222"/>
      <c r="BL42" s="532">
        <f t="shared" si="134"/>
        <v>2384.5459733896059</v>
      </c>
      <c r="BM42" s="492">
        <f t="shared" si="135"/>
        <v>2384.5459733896059</v>
      </c>
      <c r="BN42" s="492">
        <f t="shared" si="136"/>
        <v>2384.5459733896059</v>
      </c>
      <c r="BO42" s="492">
        <f t="shared" si="105"/>
        <v>7153.6379201688178</v>
      </c>
      <c r="BP42" s="222"/>
      <c r="BQ42" s="221"/>
      <c r="BR42" s="532">
        <f t="shared" si="137"/>
        <v>2384.5459733896059</v>
      </c>
      <c r="BS42" s="492">
        <f t="shared" si="138"/>
        <v>2384.5459733896059</v>
      </c>
      <c r="BT42" s="492">
        <f t="shared" si="139"/>
        <v>2384.5459733896059</v>
      </c>
      <c r="BU42" s="492">
        <f t="shared" si="106"/>
        <v>7153.6379201688178</v>
      </c>
      <c r="BV42" s="222"/>
      <c r="BW42" s="532">
        <f t="shared" si="140"/>
        <v>2384.5459733896059</v>
      </c>
      <c r="BX42" s="492">
        <f t="shared" si="141"/>
        <v>2384.5459733896059</v>
      </c>
      <c r="BY42" s="492">
        <f t="shared" si="142"/>
        <v>2384.5459733896059</v>
      </c>
      <c r="BZ42" s="492">
        <f t="shared" si="107"/>
        <v>7153.6379201688178</v>
      </c>
      <c r="CA42" s="222"/>
      <c r="CB42" s="532">
        <f t="shared" si="143"/>
        <v>2384.5459733896059</v>
      </c>
      <c r="CC42" s="492">
        <f t="shared" si="144"/>
        <v>2384.5459733896059</v>
      </c>
      <c r="CD42" s="492">
        <f t="shared" si="145"/>
        <v>2384.5459733896059</v>
      </c>
      <c r="CE42" s="492">
        <f t="shared" si="108"/>
        <v>7153.6379201688178</v>
      </c>
      <c r="CF42" s="222"/>
      <c r="CG42" s="532">
        <f t="shared" si="146"/>
        <v>2384.5459733896059</v>
      </c>
      <c r="CH42" s="492">
        <f t="shared" si="147"/>
        <v>2384.5459733896059</v>
      </c>
      <c r="CI42" s="492">
        <f t="shared" si="148"/>
        <v>2384.5459733896059</v>
      </c>
      <c r="CJ42" s="492">
        <f t="shared" si="109"/>
        <v>7153.6379201688178</v>
      </c>
      <c r="CK42" s="222"/>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row>
    <row r="43" spans="1:179" s="57" customFormat="1" ht="9.75" customHeight="1" x14ac:dyDescent="0.15">
      <c r="A43" s="488" t="s">
        <v>197</v>
      </c>
      <c r="B43" s="145">
        <v>0.05</v>
      </c>
      <c r="C43" s="126">
        <v>-6.0000000000000001E-3</v>
      </c>
      <c r="D43" s="146"/>
      <c r="E43" s="241"/>
      <c r="F43" s="226">
        <v>10000</v>
      </c>
      <c r="G43" s="227">
        <v>10000</v>
      </c>
      <c r="H43" s="492">
        <f>SUM((IF(ISBLANK(D43),B43,D43)*(H30/3))+(G43))</f>
        <v>10000</v>
      </c>
      <c r="I43" s="491">
        <f>SUM(IF(ISBLANK(D43),      (IF((1*(IF(ISBLANK(E43),C43,E43)) + B43) &lt; 0,     0,     (1*(IF(ISBLANK(E43),C43,E43)) + B43)   )),       (IF((1*(IF(ISBLANK(E43),C43,E43)) + D43) &lt; 0,     0,     (1*(IF(ISBLANK(E43),C43,E43)) + D43)   ))  )       *   (I30/3)+(H43))</f>
        <v>10000</v>
      </c>
      <c r="J43" s="217">
        <f t="shared" si="110"/>
        <v>120000</v>
      </c>
      <c r="K43" s="492">
        <f>SUM(IF(ISBLANK(D43),      (IF((2*(IF(ISBLANK(E43),C43,E43)) + B43) &lt; 0,     0,     (2*(IF(ISBLANK(E43),C43,E43)) + B43)   )),       (IF((2*(IF(ISBLANK(E43),C43,E43)) + D43) &lt; 0,     0,     (2*(IF(ISBLANK(E43),C43,E43)) + D43)   ))  )       *   (K30/3)+(I43))</f>
        <v>10000</v>
      </c>
      <c r="L43" s="492">
        <f>SUM(IF(ISBLANK(D43),      (IF((3*(IF(ISBLANK(E43),C43,E43)) + B43) &lt; 0,     0,     (3*(IF(ISBLANK(E43),C43,E43)) + B43)   )),       (IF((3*(IF(ISBLANK(E43),C43,E43)) + D43) &lt; 0,     0,     (3*(IF(ISBLANK(E43),C43,E43)) + D43)   ))  )       *   (L30/3)+(K43))</f>
        <v>10000</v>
      </c>
      <c r="M43" s="492">
        <f>SUM(IF(ISBLANK(D43),      (IF((4*(IF(ISBLANK(E43),C43,E43)) + B43) &lt; 0,     0,     (4*(IF(ISBLANK(E43),C43,E43)) + B43)   )),       (IF((4*(IF(ISBLANK(E43),C43,E43)) + D43) &lt; 0,     0,     (4*(IF(ISBLANK(E43),C43,E43)) + D43)   ))  )       *   (M30/3)+(L43))</f>
        <v>10000</v>
      </c>
      <c r="N43" s="492">
        <f>SUM(IF(ISBLANK(D43),      (IF((5*(IF(ISBLANK(E43),C43,E43)) + B43) &lt; 0,     0,     (5*(IF(ISBLANK(E43),C43,E43)) + B43)   )),       (IF((5*(IF(ISBLANK(E43),C43,E43)) + D43) &lt; 0,     0,     (5*(IF(ISBLANK(E43),C43,E43)) + D43)   ))  )       *   (N30/3)+(M43))</f>
        <v>10000</v>
      </c>
      <c r="O43" s="217">
        <f t="shared" si="111"/>
        <v>120000</v>
      </c>
      <c r="P43" s="492">
        <f>SUM(IF(ISBLANK(D43),      (IF((6*(IF(ISBLANK(E43),C43,E43)) + B43) &lt; 0,     0,     (6*(IF(ISBLANK(E43),C43,E43)) + B43)   )),       (IF((6*(IF(ISBLANK(E43),C43,E43)) + D43) &lt; 0,     0,     (6*(IF(ISBLANK(E43),C43,E43)) + D43)   ))  )       *   (P30/3)+(N43))</f>
        <v>10000</v>
      </c>
      <c r="Q43" s="492">
        <f>SUM(IF(ISBLANK(D43),      (IF((7*(IF(ISBLANK(E43),C43,E43)) + B43) &lt; 0,     0,     (7*(IF(ISBLANK(E43),C43,E43)) + B43)   )),       (IF((7*(IF(ISBLANK(E43),C43,E43)) + D43) &lt; 0,     0,     (7*(IF(ISBLANK(E43),C43,E43)) + D43)   ))  )       *   (Q30/3)+(P43))</f>
        <v>10000</v>
      </c>
      <c r="R43" s="492">
        <f>SUM(IF(ISBLANK(D43),      (IF((8*(IF(ISBLANK(E43),C43,E43)) + B43) &lt; 0,     0,     (8*(IF(ISBLANK(E43),C43,E43)) + B43)   )),       (IF((8*(IF(ISBLANK(E43),C43,E43)) + D43) &lt; 0,     0,     (8*(IF(ISBLANK(E43),C43,E43)) + D43)   ))  )       *   (R30/3)+(Q43))</f>
        <v>10000</v>
      </c>
      <c r="S43" s="492">
        <f>SUM(IF(ISBLANK(D43),      (IF((9*(IF(ISBLANK(E43),C43,E43)) + B43) &lt; 0,     0,     (9*(IF(ISBLANK(E43),C43,E43)) + B43)   )),       (IF((9*(IF(ISBLANK(E43),C43,E43)) + D43) &lt; 0,     0,     (9*(IF(ISBLANK(E43),C43,E43)) + D43)   ))  )       *   (S30/3)+(R43))</f>
        <v>10000</v>
      </c>
      <c r="T43" s="218">
        <f t="shared" si="112"/>
        <v>120000</v>
      </c>
      <c r="U43" s="221"/>
      <c r="V43" s="555">
        <f>SUM(IF(ISBLANK(D43),      (IF((10*(IF(ISBLANK(E43),C43,E43)) + B43) &lt; 0,     0,     (10*(IF(ISBLANK(E43),C43,E43)) + B43)   )),       (IF((10*(IF(ISBLANK(E43),C43,E43)) + D43) &lt; 0,     0,     (10*(IF(ISBLANK(E43),C43,E43)) + D43)   ))  )       *   (V30)+(S43))*12</f>
        <v>120000</v>
      </c>
      <c r="W43" s="416">
        <f>SUM(IF(ISBLANK(D43),      (IF((11*(IF(ISBLANK(E43),C43,E43)) + B43) &lt; 0,     0,     (11*(IF(ISBLANK(E43),C43,E43)) + B43)   )),       (IF((11*(IF(ISBLANK(E43),C43,E43)) + D43) &lt; 0,     0,     (11*(IF(ISBLANK(E43),C43,E43)) + D43)   ))  )       *   (W30)+(V43))</f>
        <v>120000</v>
      </c>
      <c r="X43" s="556">
        <f>SUM(IF(ISBLANK(D43),      (IF((12*(IF(ISBLANK(E43),C43,E43)) + B43) &lt; 0,     0,     (12*(IF(ISBLANK(E43),C43,E43)) + B43)   )),       (IF((12*(IF(ISBLANK(E43),C43,E43)) + D43) &lt; 0,     0,     (12*(IF(ISBLANK(E43),C43,E43)) + D43)   ))  )       *   (X30)+(W43))</f>
        <v>120000</v>
      </c>
      <c r="Y43" s="221"/>
      <c r="Z43" s="578">
        <f>SUM(1150+61191+16520+16425+10520+4487)</f>
        <v>110293</v>
      </c>
      <c r="AA43" s="617"/>
      <c r="AB43" s="532">
        <f t="shared" si="113"/>
        <v>10000</v>
      </c>
      <c r="AC43" s="492">
        <f t="shared" si="114"/>
        <v>10000</v>
      </c>
      <c r="AD43" s="492">
        <f t="shared" si="115"/>
        <v>10000</v>
      </c>
      <c r="AE43" s="492">
        <f t="shared" si="98"/>
        <v>30000</v>
      </c>
      <c r="AF43" s="222"/>
      <c r="AG43" s="532">
        <f t="shared" si="116"/>
        <v>10000</v>
      </c>
      <c r="AH43" s="492">
        <f t="shared" si="117"/>
        <v>10000</v>
      </c>
      <c r="AI43" s="492">
        <f t="shared" si="118"/>
        <v>10000</v>
      </c>
      <c r="AJ43" s="492">
        <f t="shared" si="99"/>
        <v>30000</v>
      </c>
      <c r="AK43" s="222"/>
      <c r="AL43" s="532">
        <f t="shared" si="119"/>
        <v>10000</v>
      </c>
      <c r="AM43" s="492">
        <f t="shared" si="120"/>
        <v>10000</v>
      </c>
      <c r="AN43" s="492">
        <f t="shared" si="121"/>
        <v>10000</v>
      </c>
      <c r="AO43" s="492">
        <f t="shared" si="100"/>
        <v>30000</v>
      </c>
      <c r="AP43" s="222"/>
      <c r="AQ43" s="532">
        <f t="shared" si="122"/>
        <v>10000</v>
      </c>
      <c r="AR43" s="492">
        <f t="shared" si="123"/>
        <v>10000</v>
      </c>
      <c r="AS43" s="492">
        <f t="shared" si="124"/>
        <v>10000</v>
      </c>
      <c r="AT43" s="492">
        <f t="shared" si="101"/>
        <v>30000</v>
      </c>
      <c r="AU43" s="222"/>
      <c r="AV43" s="617"/>
      <c r="AW43" s="532">
        <f t="shared" si="125"/>
        <v>10000</v>
      </c>
      <c r="AX43" s="492">
        <f t="shared" si="126"/>
        <v>10000</v>
      </c>
      <c r="AY43" s="492">
        <f t="shared" si="127"/>
        <v>10000</v>
      </c>
      <c r="AZ43" s="492">
        <f t="shared" si="102"/>
        <v>30000</v>
      </c>
      <c r="BA43" s="222"/>
      <c r="BB43" s="532">
        <f t="shared" si="128"/>
        <v>10000</v>
      </c>
      <c r="BC43" s="492">
        <f t="shared" si="129"/>
        <v>10000</v>
      </c>
      <c r="BD43" s="492">
        <f t="shared" si="130"/>
        <v>10000</v>
      </c>
      <c r="BE43" s="492">
        <f t="shared" si="103"/>
        <v>30000</v>
      </c>
      <c r="BF43" s="222"/>
      <c r="BG43" s="532">
        <f t="shared" si="131"/>
        <v>10000</v>
      </c>
      <c r="BH43" s="492">
        <f t="shared" si="132"/>
        <v>10000</v>
      </c>
      <c r="BI43" s="492">
        <f t="shared" si="133"/>
        <v>10000</v>
      </c>
      <c r="BJ43" s="492">
        <f t="shared" si="104"/>
        <v>30000</v>
      </c>
      <c r="BK43" s="222"/>
      <c r="BL43" s="532">
        <f t="shared" si="134"/>
        <v>10000</v>
      </c>
      <c r="BM43" s="492">
        <f t="shared" si="135"/>
        <v>10000</v>
      </c>
      <c r="BN43" s="492">
        <f t="shared" si="136"/>
        <v>10000</v>
      </c>
      <c r="BO43" s="492">
        <f t="shared" si="105"/>
        <v>30000</v>
      </c>
      <c r="BP43" s="222"/>
      <c r="BQ43" s="221"/>
      <c r="BR43" s="532">
        <f t="shared" si="137"/>
        <v>10000</v>
      </c>
      <c r="BS43" s="492">
        <f t="shared" si="138"/>
        <v>10000</v>
      </c>
      <c r="BT43" s="492">
        <f t="shared" si="139"/>
        <v>10000</v>
      </c>
      <c r="BU43" s="492">
        <f t="shared" si="106"/>
        <v>30000</v>
      </c>
      <c r="BV43" s="222"/>
      <c r="BW43" s="532">
        <f t="shared" si="140"/>
        <v>10000</v>
      </c>
      <c r="BX43" s="492">
        <f t="shared" si="141"/>
        <v>10000</v>
      </c>
      <c r="BY43" s="492">
        <f t="shared" si="142"/>
        <v>10000</v>
      </c>
      <c r="BZ43" s="492">
        <f t="shared" si="107"/>
        <v>30000</v>
      </c>
      <c r="CA43" s="222"/>
      <c r="CB43" s="532">
        <f t="shared" si="143"/>
        <v>10000</v>
      </c>
      <c r="CC43" s="492">
        <f t="shared" si="144"/>
        <v>10000</v>
      </c>
      <c r="CD43" s="492">
        <f t="shared" si="145"/>
        <v>10000</v>
      </c>
      <c r="CE43" s="492">
        <f t="shared" si="108"/>
        <v>30000</v>
      </c>
      <c r="CF43" s="222"/>
      <c r="CG43" s="532">
        <f t="shared" si="146"/>
        <v>10000</v>
      </c>
      <c r="CH43" s="492">
        <f t="shared" si="147"/>
        <v>10000</v>
      </c>
      <c r="CI43" s="492">
        <f t="shared" si="148"/>
        <v>10000</v>
      </c>
      <c r="CJ43" s="492">
        <f t="shared" si="109"/>
        <v>30000</v>
      </c>
      <c r="CK43" s="222"/>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row>
    <row r="44" spans="1:179" s="57" customFormat="1" ht="9.75" customHeight="1" x14ac:dyDescent="0.15">
      <c r="A44" s="468" t="s">
        <v>198</v>
      </c>
      <c r="B44" s="245">
        <v>3</v>
      </c>
      <c r="C44" s="246">
        <v>-0.05</v>
      </c>
      <c r="D44" s="494">
        <f>SUM(IF('Your Estimation'!B23=0,B44,'Your Estimation'!B23))</f>
        <v>3</v>
      </c>
      <c r="E44" s="432">
        <v>0</v>
      </c>
      <c r="F44" s="215">
        <v>6</v>
      </c>
      <c r="G44" s="216">
        <v>5</v>
      </c>
      <c r="H44" s="493">
        <f>SUM((IF(ISBLANK(D44),B44,D44)))</f>
        <v>3</v>
      </c>
      <c r="I44" s="493">
        <f>SUM(H44+(IF(ISBLANK(E44),C44,E44)))</f>
        <v>3</v>
      </c>
      <c r="J44" s="219">
        <f>SUM((F44+G44+H44+I44)/4)</f>
        <v>4.25</v>
      </c>
      <c r="K44" s="493">
        <f>SUM(I44+(IF(ISBLANK(E44),C44,E44)))</f>
        <v>3</v>
      </c>
      <c r="L44" s="493">
        <f>SUM(K44+(IF(ISBLANK(E44),C44,E44)))</f>
        <v>3</v>
      </c>
      <c r="M44" s="493">
        <f>SUM(L44+(IF(ISBLANK(E44),C44,E44)))</f>
        <v>3</v>
      </c>
      <c r="N44" s="493">
        <f>SUM(M44+(IF(ISBLANK(E44),C44,E44)))</f>
        <v>3</v>
      </c>
      <c r="O44" s="219">
        <f>SUM(K44+L44+M44+N44)/4</f>
        <v>3</v>
      </c>
      <c r="P44" s="493">
        <f>SUM(N44+(IF(ISBLANK(E44),C44,E44)))</f>
        <v>3</v>
      </c>
      <c r="Q44" s="493">
        <f>SUM(P44+(IF(ISBLANK(E44),C44,E44)))</f>
        <v>3</v>
      </c>
      <c r="R44" s="493">
        <f>SUM(Q44+(IF(ISBLANK(E44),C44,E44)))</f>
        <v>3</v>
      </c>
      <c r="S44" s="493">
        <f>SUM(R44+(IF(ISBLANK(E44),C44,E44)))</f>
        <v>3</v>
      </c>
      <c r="T44" s="214">
        <f>SUM(P44+Q44+R44+S44)/4</f>
        <v>3</v>
      </c>
      <c r="U44" s="247"/>
      <c r="V44" s="417">
        <f>SUM(S44+(IF(ISBLANK(E44),C44,E44)))</f>
        <v>3</v>
      </c>
      <c r="W44" s="407">
        <f>SUM(V44+(IF(ISBLANK(E44),C44,E44)))</f>
        <v>3</v>
      </c>
      <c r="X44" s="554">
        <f>SUM(W44+(IF(ISBLANK(E44),C44,E44)))</f>
        <v>3</v>
      </c>
      <c r="Y44" s="247"/>
      <c r="Z44" s="581">
        <v>1.2</v>
      </c>
      <c r="AA44" s="619"/>
      <c r="AB44" s="495">
        <f>F44</f>
        <v>6</v>
      </c>
      <c r="AC44" s="493">
        <f>F44</f>
        <v>6</v>
      </c>
      <c r="AD44" s="493">
        <f>F44</f>
        <v>6</v>
      </c>
      <c r="AE44" s="493">
        <f>SUM((AB44+AC44+AD44)/3)</f>
        <v>6</v>
      </c>
      <c r="AF44" s="248"/>
      <c r="AG44" s="495">
        <f>G44</f>
        <v>5</v>
      </c>
      <c r="AH44" s="493">
        <f>G44</f>
        <v>5</v>
      </c>
      <c r="AI44" s="493">
        <f>G44</f>
        <v>5</v>
      </c>
      <c r="AJ44" s="493">
        <f>SUM((AG44+AH44+AI44)/3)</f>
        <v>5</v>
      </c>
      <c r="AK44" s="248"/>
      <c r="AL44" s="495">
        <f>H44</f>
        <v>3</v>
      </c>
      <c r="AM44" s="493">
        <f>H44</f>
        <v>3</v>
      </c>
      <c r="AN44" s="493">
        <f>H44</f>
        <v>3</v>
      </c>
      <c r="AO44" s="493">
        <f>SUM((AL44+AM44+AN44)/3)</f>
        <v>3</v>
      </c>
      <c r="AP44" s="248"/>
      <c r="AQ44" s="495">
        <f>I44</f>
        <v>3</v>
      </c>
      <c r="AR44" s="493">
        <f>I44</f>
        <v>3</v>
      </c>
      <c r="AS44" s="493">
        <f>I44</f>
        <v>3</v>
      </c>
      <c r="AT44" s="493">
        <f>SUM((AQ44+AR44+AS44)/3)</f>
        <v>3</v>
      </c>
      <c r="AU44" s="248"/>
      <c r="AV44" s="619"/>
      <c r="AW44" s="495">
        <f>K44</f>
        <v>3</v>
      </c>
      <c r="AX44" s="493">
        <f>K44</f>
        <v>3</v>
      </c>
      <c r="AY44" s="493">
        <f>K44</f>
        <v>3</v>
      </c>
      <c r="AZ44" s="493">
        <f>SUM((AW44+AX44+AY44)/3)</f>
        <v>3</v>
      </c>
      <c r="BA44" s="248"/>
      <c r="BB44" s="495">
        <f>L44</f>
        <v>3</v>
      </c>
      <c r="BC44" s="493">
        <f>L44</f>
        <v>3</v>
      </c>
      <c r="BD44" s="493">
        <f>L44</f>
        <v>3</v>
      </c>
      <c r="BE44" s="493">
        <f>SUM((BB44+BC44+BD44)/3)</f>
        <v>3</v>
      </c>
      <c r="BF44" s="248"/>
      <c r="BG44" s="495">
        <f>M44</f>
        <v>3</v>
      </c>
      <c r="BH44" s="493">
        <f>M44</f>
        <v>3</v>
      </c>
      <c r="BI44" s="493">
        <f>M44</f>
        <v>3</v>
      </c>
      <c r="BJ44" s="493">
        <f>SUM((BG44+BH44+BI44)/3)</f>
        <v>3</v>
      </c>
      <c r="BK44" s="248"/>
      <c r="BL44" s="495">
        <f>N44</f>
        <v>3</v>
      </c>
      <c r="BM44" s="493">
        <f>N44</f>
        <v>3</v>
      </c>
      <c r="BN44" s="493">
        <f>N44</f>
        <v>3</v>
      </c>
      <c r="BO44" s="493">
        <f>SUM((BL44+BM44+BN44)/3)</f>
        <v>3</v>
      </c>
      <c r="BP44" s="248"/>
      <c r="BQ44" s="247"/>
      <c r="BR44" s="495">
        <f>P44</f>
        <v>3</v>
      </c>
      <c r="BS44" s="493">
        <f>P44</f>
        <v>3</v>
      </c>
      <c r="BT44" s="493">
        <f>P44</f>
        <v>3</v>
      </c>
      <c r="BU44" s="493">
        <f>SUM((BR44+BS44+BT44)/3)</f>
        <v>3</v>
      </c>
      <c r="BV44" s="248"/>
      <c r="BW44" s="495">
        <f>Q44</f>
        <v>3</v>
      </c>
      <c r="BX44" s="493">
        <f>Q44</f>
        <v>3</v>
      </c>
      <c r="BY44" s="493">
        <f>Q44</f>
        <v>3</v>
      </c>
      <c r="BZ44" s="493">
        <f>SUM((BW44+BX44+BY44)/3)</f>
        <v>3</v>
      </c>
      <c r="CA44" s="248"/>
      <c r="CB44" s="495">
        <f>R44</f>
        <v>3</v>
      </c>
      <c r="CC44" s="493">
        <f>R44</f>
        <v>3</v>
      </c>
      <c r="CD44" s="493">
        <f>R44</f>
        <v>3</v>
      </c>
      <c r="CE44" s="493">
        <f>SUM((CB44+CC44+CD44)/3)</f>
        <v>3</v>
      </c>
      <c r="CF44" s="248"/>
      <c r="CG44" s="495">
        <f>S44</f>
        <v>3</v>
      </c>
      <c r="CH44" s="493">
        <f>S44</f>
        <v>3</v>
      </c>
      <c r="CI44" s="493">
        <f>S44</f>
        <v>3</v>
      </c>
      <c r="CJ44" s="493">
        <f>SUM((CG44+CH44+CI44)/3)</f>
        <v>3</v>
      </c>
      <c r="CK44" s="248"/>
    </row>
    <row r="45" spans="1:179" s="57" customFormat="1" ht="9.75" customHeight="1" x14ac:dyDescent="0.15">
      <c r="A45" s="488" t="s">
        <v>199</v>
      </c>
      <c r="B45" s="145">
        <v>0.3</v>
      </c>
      <c r="C45" s="218">
        <v>10000000</v>
      </c>
      <c r="D45" s="146"/>
      <c r="E45" s="243"/>
      <c r="F45" s="226">
        <v>0</v>
      </c>
      <c r="G45" s="227">
        <v>0</v>
      </c>
      <c r="H45" s="492">
        <f>SUM(G45+(IF(IF(ISBLANK(D45),B45,D45)*(G30/3)&gt;(IF(ISBLANK(E45),C45,E45)),IF(ISBLANK(E45),C45,E45),IF(ISBLANK(D45),B45,D45)*(G30/3))))</f>
        <v>0</v>
      </c>
      <c r="I45" s="491">
        <f>SUM(G45+(IF(IF(ISBLANK(D45),B45,D45)*(H30/3)&gt;(IF(ISBLANK(E45),C45,E45)),IF(ISBLANK(E45),C45,E45),IF(ISBLANK(D45),B45,D45)*(H30/3))))</f>
        <v>0</v>
      </c>
      <c r="J45" s="217">
        <f t="shared" si="110"/>
        <v>0</v>
      </c>
      <c r="K45" s="492">
        <f>SUM(G45+(IF(IF(ISBLANK(D45),B45,D45)*(I30/3)&gt;(IF(ISBLANK(E45),C45,E45)),IF(ISBLANK(E45),C45,E45),IF(ISBLANK(D45),B45,D45)*(I30/3))))</f>
        <v>0</v>
      </c>
      <c r="L45" s="492">
        <f>SUM(G45+(IF(IF(ISBLANK(D45),B45,D45)*(K30/3)&gt;(IF(ISBLANK(E45),C45,E45)),IF(ISBLANK(E45),C45,E45),IF(ISBLANK(D45),B45,D45)*(K30/3))))</f>
        <v>0</v>
      </c>
      <c r="M45" s="492">
        <f>SUM(G45+(IF(IF(ISBLANK(D45),B45,D45)*(L30/3)&gt;(IF(ISBLANK(E45),C45,E45)),IF(ISBLANK(E45),C45,E45),IF(ISBLANK(D45),B45,D45)*(L30/3))))</f>
        <v>0</v>
      </c>
      <c r="N45" s="492">
        <f>SUM(G45+(IF(IF(ISBLANK(D45),B45,D45)*(M30/3)&gt;(IF(ISBLANK(E45),C45,E45)),IF(ISBLANK(E45),C45,E45),IF(ISBLANK(D45),B45,D45)*(M30/3))))</f>
        <v>0</v>
      </c>
      <c r="O45" s="217">
        <f t="shared" si="111"/>
        <v>0</v>
      </c>
      <c r="P45" s="492">
        <f>SUM(G45+(IF(IF(ISBLANK(D45),B45,D45)*(N30/3)&gt;(IF(ISBLANK(E45),C45,E45)),IF(ISBLANK(E45),C45,E45),IF(ISBLANK(D45),B45,D45)*(N30/3))))</f>
        <v>0</v>
      </c>
      <c r="Q45" s="492">
        <f>SUM(G45+(IF(IF(ISBLANK(D45),B45,D45)*(P30/3)&gt;(IF(ISBLANK(E45),C45,E45)),IF(ISBLANK(E45),C45,E45),IF(ISBLANK(D45),B45,D45)*(P30/3))))</f>
        <v>0</v>
      </c>
      <c r="R45" s="492">
        <f>SUM(G45+(IF(IF(ISBLANK(D45),B45,D45)*(Q30/3)&gt;(IF(ISBLANK(E45),C45,E45)),IF(ISBLANK(E45),C45,E45),IF(ISBLANK(D45),B45,D45)*(Q30/3))))</f>
        <v>0</v>
      </c>
      <c r="S45" s="492">
        <f>SUM(G45+(IF(IF(ISBLANK(D45),B45,D45)*(R30/3)&gt;(IF(ISBLANK(E45),C45,E45)),IF(ISBLANK(E45),C45,E45),IF(ISBLANK(D45),B45,D45)*(R30/3))))</f>
        <v>0</v>
      </c>
      <c r="T45" s="218">
        <f t="shared" si="112"/>
        <v>0</v>
      </c>
      <c r="U45" s="221"/>
      <c r="V45" s="555">
        <f>SUM(G45+(IF(IF(ISBLANK(D45),B45,D45)*(S30)&gt;(IF(ISBLANK(E45),C45,E45)),IF(ISBLANK(E45),C45,E45),IF(ISBLANK(D45),B45,D45)*(S30))))</f>
        <v>0</v>
      </c>
      <c r="W45" s="416">
        <f>SUM(G45+(IF(IF(ISBLANK(D45),B45,D45)*(V30)&gt;(IF(ISBLANK(E45),C45,E45)),IF(ISBLANK(E45),C45,E45),IF(ISBLANK(D45),B45,D45)*(V30))))</f>
        <v>0</v>
      </c>
      <c r="X45" s="556">
        <f>SUM(G45+(IF(IF(ISBLANK(D45),B45,D45)*(W30)&gt;(IF(ISBLANK(E45),C45,E45)),IF(ISBLANK(E45),C45,E45),IF(ISBLANK(D45),B45,D45)*(W30))))</f>
        <v>0</v>
      </c>
      <c r="Y45" s="221"/>
      <c r="Z45" s="578">
        <v>0</v>
      </c>
      <c r="AA45" s="617"/>
      <c r="AB45" s="532">
        <f t="shared" si="113"/>
        <v>0</v>
      </c>
      <c r="AC45" s="492">
        <f t="shared" si="114"/>
        <v>0</v>
      </c>
      <c r="AD45" s="492">
        <f t="shared" si="115"/>
        <v>0</v>
      </c>
      <c r="AE45" s="492">
        <f>SUM(AB45:AD45)</f>
        <v>0</v>
      </c>
      <c r="AF45" s="222"/>
      <c r="AG45" s="532">
        <f t="shared" si="116"/>
        <v>0</v>
      </c>
      <c r="AH45" s="492">
        <f t="shared" si="117"/>
        <v>0</v>
      </c>
      <c r="AI45" s="492">
        <f t="shared" si="118"/>
        <v>0</v>
      </c>
      <c r="AJ45" s="492">
        <f t="shared" si="99"/>
        <v>0</v>
      </c>
      <c r="AK45" s="222"/>
      <c r="AL45" s="532">
        <f t="shared" si="119"/>
        <v>0</v>
      </c>
      <c r="AM45" s="492">
        <f t="shared" si="120"/>
        <v>0</v>
      </c>
      <c r="AN45" s="492">
        <f t="shared" si="121"/>
        <v>0</v>
      </c>
      <c r="AO45" s="492">
        <f>SUM(AL45:AN45)</f>
        <v>0</v>
      </c>
      <c r="AP45" s="222"/>
      <c r="AQ45" s="532">
        <f t="shared" si="122"/>
        <v>0</v>
      </c>
      <c r="AR45" s="492">
        <f t="shared" si="123"/>
        <v>0</v>
      </c>
      <c r="AS45" s="492">
        <f t="shared" si="124"/>
        <v>0</v>
      </c>
      <c r="AT45" s="492">
        <f>SUM(AQ45:AS45)</f>
        <v>0</v>
      </c>
      <c r="AU45" s="222"/>
      <c r="AV45" s="617"/>
      <c r="AW45" s="532">
        <f t="shared" si="125"/>
        <v>0</v>
      </c>
      <c r="AX45" s="492">
        <f t="shared" si="126"/>
        <v>0</v>
      </c>
      <c r="AY45" s="492">
        <f t="shared" si="127"/>
        <v>0</v>
      </c>
      <c r="AZ45" s="492">
        <f>SUM(AW45:AY45)</f>
        <v>0</v>
      </c>
      <c r="BA45" s="222"/>
      <c r="BB45" s="532">
        <f t="shared" si="128"/>
        <v>0</v>
      </c>
      <c r="BC45" s="492">
        <f t="shared" si="129"/>
        <v>0</v>
      </c>
      <c r="BD45" s="492">
        <f t="shared" si="130"/>
        <v>0</v>
      </c>
      <c r="BE45" s="492">
        <f>SUM(BB45:BD45)</f>
        <v>0</v>
      </c>
      <c r="BF45" s="222"/>
      <c r="BG45" s="532">
        <f t="shared" si="131"/>
        <v>0</v>
      </c>
      <c r="BH45" s="492">
        <f t="shared" si="132"/>
        <v>0</v>
      </c>
      <c r="BI45" s="492">
        <f t="shared" si="133"/>
        <v>0</v>
      </c>
      <c r="BJ45" s="492">
        <f>SUM(BG45:BI45)</f>
        <v>0</v>
      </c>
      <c r="BK45" s="222"/>
      <c r="BL45" s="532">
        <f t="shared" si="134"/>
        <v>0</v>
      </c>
      <c r="BM45" s="492">
        <f t="shared" si="135"/>
        <v>0</v>
      </c>
      <c r="BN45" s="492">
        <f t="shared" si="136"/>
        <v>0</v>
      </c>
      <c r="BO45" s="492">
        <f>SUM(BL45:BN45)</f>
        <v>0</v>
      </c>
      <c r="BP45" s="222"/>
      <c r="BQ45" s="221"/>
      <c r="BR45" s="532">
        <f t="shared" si="137"/>
        <v>0</v>
      </c>
      <c r="BS45" s="492">
        <f>P45</f>
        <v>0</v>
      </c>
      <c r="BT45" s="492">
        <f t="shared" si="139"/>
        <v>0</v>
      </c>
      <c r="BU45" s="492">
        <f>SUM(BR45:BT45)</f>
        <v>0</v>
      </c>
      <c r="BV45" s="222"/>
      <c r="BW45" s="532">
        <f t="shared" si="140"/>
        <v>0</v>
      </c>
      <c r="BX45" s="492">
        <f t="shared" si="141"/>
        <v>0</v>
      </c>
      <c r="BY45" s="492">
        <f t="shared" si="142"/>
        <v>0</v>
      </c>
      <c r="BZ45" s="492">
        <f>SUM(BW45:BY45)</f>
        <v>0</v>
      </c>
      <c r="CA45" s="222"/>
      <c r="CB45" s="532">
        <f t="shared" si="143"/>
        <v>0</v>
      </c>
      <c r="CC45" s="492">
        <f t="shared" si="144"/>
        <v>0</v>
      </c>
      <c r="CD45" s="492">
        <f t="shared" si="145"/>
        <v>0</v>
      </c>
      <c r="CE45" s="492">
        <f>SUM(CB45:CD45)</f>
        <v>0</v>
      </c>
      <c r="CF45" s="222"/>
      <c r="CG45" s="532">
        <f t="shared" si="146"/>
        <v>0</v>
      </c>
      <c r="CH45" s="492">
        <f t="shared" si="147"/>
        <v>0</v>
      </c>
      <c r="CI45" s="492">
        <f t="shared" si="148"/>
        <v>0</v>
      </c>
      <c r="CJ45" s="492">
        <f>SUM(CG45:CI45)</f>
        <v>0</v>
      </c>
      <c r="CK45" s="222"/>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row>
    <row r="46" spans="1:179" s="57" customFormat="1" ht="9.75" customHeight="1" x14ac:dyDescent="0.15">
      <c r="A46" s="488" t="s">
        <v>200</v>
      </c>
      <c r="B46" s="239">
        <v>100000</v>
      </c>
      <c r="C46" s="218"/>
      <c r="D46" s="240"/>
      <c r="E46" s="229"/>
      <c r="F46" s="226">
        <v>1000</v>
      </c>
      <c r="G46" s="227">
        <f>SUM((IF(ISBLANK(D46),B46,D46)/3)*0.35)</f>
        <v>11666.666666666666</v>
      </c>
      <c r="H46" s="492">
        <f>SUM((IF(ISBLANK(D46),B46,D46)/3)*0.3)</f>
        <v>10000</v>
      </c>
      <c r="I46" s="491">
        <f>SUM((IF(ISBLANK(D46),B46,D46)/3)*0.2)</f>
        <v>6666.6666666666679</v>
      </c>
      <c r="J46" s="217">
        <f>SUM(F46:I46)*3</f>
        <v>88000</v>
      </c>
      <c r="K46" s="492">
        <f>SUM((IF(ISBLANK(D46),B46,D46)/3)*0.15)</f>
        <v>5000</v>
      </c>
      <c r="L46" s="492">
        <v>0</v>
      </c>
      <c r="M46" s="492">
        <v>0</v>
      </c>
      <c r="N46" s="492">
        <v>0</v>
      </c>
      <c r="O46" s="217">
        <f>SUM(K46:N46)*3</f>
        <v>15000</v>
      </c>
      <c r="P46" s="492">
        <v>0</v>
      </c>
      <c r="Q46" s="492">
        <v>0</v>
      </c>
      <c r="R46" s="492">
        <v>0</v>
      </c>
      <c r="S46" s="492">
        <v>0</v>
      </c>
      <c r="T46" s="218">
        <f>SUM(P46:S46)*3</f>
        <v>0</v>
      </c>
      <c r="U46" s="221"/>
      <c r="V46" s="555">
        <v>0</v>
      </c>
      <c r="W46" s="416">
        <v>0</v>
      </c>
      <c r="X46" s="556">
        <v>0</v>
      </c>
      <c r="Y46" s="221"/>
      <c r="Z46" s="578">
        <v>2000</v>
      </c>
      <c r="AA46" s="617"/>
      <c r="AB46" s="532">
        <f t="shared" si="113"/>
        <v>1000</v>
      </c>
      <c r="AC46" s="492">
        <f t="shared" si="114"/>
        <v>1000</v>
      </c>
      <c r="AD46" s="492">
        <f t="shared" si="115"/>
        <v>1000</v>
      </c>
      <c r="AE46" s="492">
        <f>SUM(AB46:AD46)</f>
        <v>3000</v>
      </c>
      <c r="AF46" s="222"/>
      <c r="AG46" s="532">
        <f t="shared" si="116"/>
        <v>11666.666666666666</v>
      </c>
      <c r="AH46" s="492">
        <f t="shared" si="117"/>
        <v>11666.666666666666</v>
      </c>
      <c r="AI46" s="492">
        <f t="shared" si="118"/>
        <v>11666.666666666666</v>
      </c>
      <c r="AJ46" s="492">
        <f t="shared" si="99"/>
        <v>35000</v>
      </c>
      <c r="AK46" s="222"/>
      <c r="AL46" s="532">
        <f t="shared" si="119"/>
        <v>10000</v>
      </c>
      <c r="AM46" s="492">
        <f t="shared" si="120"/>
        <v>10000</v>
      </c>
      <c r="AN46" s="492">
        <f t="shared" si="121"/>
        <v>10000</v>
      </c>
      <c r="AO46" s="492">
        <f>SUM(AL46:AN46)</f>
        <v>30000</v>
      </c>
      <c r="AP46" s="222"/>
      <c r="AQ46" s="532">
        <f t="shared" si="122"/>
        <v>6666.6666666666679</v>
      </c>
      <c r="AR46" s="492">
        <f t="shared" si="123"/>
        <v>6666.6666666666679</v>
      </c>
      <c r="AS46" s="492">
        <f t="shared" si="124"/>
        <v>6666.6666666666679</v>
      </c>
      <c r="AT46" s="492">
        <f>SUM(AQ46:AS46)</f>
        <v>20000.000000000004</v>
      </c>
      <c r="AU46" s="222"/>
      <c r="AV46" s="617"/>
      <c r="AW46" s="532">
        <f t="shared" si="125"/>
        <v>5000</v>
      </c>
      <c r="AX46" s="492">
        <f t="shared" si="126"/>
        <v>5000</v>
      </c>
      <c r="AY46" s="492">
        <f t="shared" si="127"/>
        <v>5000</v>
      </c>
      <c r="AZ46" s="492">
        <f>SUM(AW46:AY46)</f>
        <v>15000</v>
      </c>
      <c r="BA46" s="222"/>
      <c r="BB46" s="532">
        <f t="shared" si="128"/>
        <v>0</v>
      </c>
      <c r="BC46" s="492">
        <f t="shared" si="129"/>
        <v>0</v>
      </c>
      <c r="BD46" s="492">
        <f t="shared" si="130"/>
        <v>0</v>
      </c>
      <c r="BE46" s="492">
        <f>SUM(BB46:BD46)</f>
        <v>0</v>
      </c>
      <c r="BF46" s="222"/>
      <c r="BG46" s="532">
        <f t="shared" si="131"/>
        <v>0</v>
      </c>
      <c r="BH46" s="492">
        <f t="shared" si="132"/>
        <v>0</v>
      </c>
      <c r="BI46" s="492">
        <f t="shared" si="133"/>
        <v>0</v>
      </c>
      <c r="BJ46" s="492">
        <f>SUM(BG46:BI46)</f>
        <v>0</v>
      </c>
      <c r="BK46" s="222"/>
      <c r="BL46" s="532">
        <f t="shared" si="134"/>
        <v>0</v>
      </c>
      <c r="BM46" s="492">
        <f t="shared" si="135"/>
        <v>0</v>
      </c>
      <c r="BN46" s="492">
        <f t="shared" si="136"/>
        <v>0</v>
      </c>
      <c r="BO46" s="492">
        <f>SUM(BL46:BN46)</f>
        <v>0</v>
      </c>
      <c r="BP46" s="222"/>
      <c r="BQ46" s="221"/>
      <c r="BR46" s="532">
        <f t="shared" si="137"/>
        <v>0</v>
      </c>
      <c r="BS46" s="492">
        <f>P46</f>
        <v>0</v>
      </c>
      <c r="BT46" s="492">
        <f t="shared" si="139"/>
        <v>0</v>
      </c>
      <c r="BU46" s="492">
        <f>SUM(BR46:BT46)</f>
        <v>0</v>
      </c>
      <c r="BV46" s="222"/>
      <c r="BW46" s="532">
        <f t="shared" si="140"/>
        <v>0</v>
      </c>
      <c r="BX46" s="492">
        <f t="shared" si="141"/>
        <v>0</v>
      </c>
      <c r="BY46" s="492">
        <f t="shared" si="142"/>
        <v>0</v>
      </c>
      <c r="BZ46" s="492">
        <f>SUM(BW46:BY46)</f>
        <v>0</v>
      </c>
      <c r="CA46" s="222"/>
      <c r="CB46" s="532">
        <f t="shared" si="143"/>
        <v>0</v>
      </c>
      <c r="CC46" s="492">
        <f t="shared" si="144"/>
        <v>0</v>
      </c>
      <c r="CD46" s="492">
        <f t="shared" si="145"/>
        <v>0</v>
      </c>
      <c r="CE46" s="492">
        <f>SUM(CB46:CD46)</f>
        <v>0</v>
      </c>
      <c r="CF46" s="222"/>
      <c r="CG46" s="532">
        <f t="shared" si="146"/>
        <v>0</v>
      </c>
      <c r="CH46" s="492">
        <f t="shared" si="147"/>
        <v>0</v>
      </c>
      <c r="CI46" s="492">
        <f t="shared" si="148"/>
        <v>0</v>
      </c>
      <c r="CJ46" s="492">
        <f>SUM(CG46:CI46)</f>
        <v>0</v>
      </c>
      <c r="CK46" s="222"/>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row>
    <row r="47" spans="1:179" s="57" customFormat="1" ht="9.75" customHeight="1" x14ac:dyDescent="0.15">
      <c r="A47" s="421" t="s">
        <v>239</v>
      </c>
      <c r="B47" s="249"/>
      <c r="C47" s="250"/>
      <c r="D47" s="249"/>
      <c r="E47" s="251"/>
      <c r="F47" s="419">
        <f>AE47</f>
        <v>126682.37574787604</v>
      </c>
      <c r="G47" s="420">
        <f>AJ47</f>
        <v>158768.6457875082</v>
      </c>
      <c r="H47" s="420">
        <f>AO47</f>
        <v>154112.64399479475</v>
      </c>
      <c r="I47" s="420">
        <f>AT47</f>
        <v>144412.6389578511</v>
      </c>
      <c r="J47" s="211">
        <f>SUM(F47:I47)</f>
        <v>583976.30448803003</v>
      </c>
      <c r="K47" s="420">
        <f>AZ47</f>
        <v>154612.63842203823</v>
      </c>
      <c r="L47" s="420">
        <f>BE47</f>
        <v>139762.63792016881</v>
      </c>
      <c r="M47" s="420">
        <f>BJ47</f>
        <v>139762.63792016881</v>
      </c>
      <c r="N47" s="420">
        <f>BO47</f>
        <v>139762.63792016881</v>
      </c>
      <c r="O47" s="211">
        <f>SUM(K47:N47)</f>
        <v>573900.55218254472</v>
      </c>
      <c r="P47" s="420">
        <f>BU47</f>
        <v>139762.63792016881</v>
      </c>
      <c r="Q47" s="420">
        <f>BZ47</f>
        <v>139762.63792016881</v>
      </c>
      <c r="R47" s="420">
        <f>CE47</f>
        <v>139762.63792016881</v>
      </c>
      <c r="S47" s="420">
        <f>CJ47</f>
        <v>139762.63792016881</v>
      </c>
      <c r="T47" s="230">
        <f>SUM(P47:S47)</f>
        <v>559050.55168067524</v>
      </c>
      <c r="U47" s="232"/>
      <c r="V47" s="535">
        <f>SUM(V33:V45)</f>
        <v>515017.55168067524</v>
      </c>
      <c r="W47" s="420">
        <f>SUM(W33:W45)</f>
        <v>515017.55168067524</v>
      </c>
      <c r="X47" s="536">
        <f>SUM(X33:X45)</f>
        <v>515017.55168067524</v>
      </c>
      <c r="Y47" s="232"/>
      <c r="Z47" s="579">
        <f>SUM(Z33:Z46)</f>
        <v>1083618.2</v>
      </c>
      <c r="AA47" s="618"/>
      <c r="AB47" s="535">
        <f>SUM(AB33:AB46)</f>
        <v>42227.458582625346</v>
      </c>
      <c r="AC47" s="420">
        <f>SUM(AC33:AC46)</f>
        <v>42227.458582625346</v>
      </c>
      <c r="AD47" s="420">
        <f>SUM(AD33:AD46)</f>
        <v>42227.458582625346</v>
      </c>
      <c r="AE47" s="211">
        <f>SUM(AB47:AD47)</f>
        <v>126682.37574787604</v>
      </c>
      <c r="AF47" s="212"/>
      <c r="AG47" s="535">
        <f>SUM(AG33:AG46)</f>
        <v>52922.881929169402</v>
      </c>
      <c r="AH47" s="420">
        <f>SUM(AH33:AH46)</f>
        <v>52922.881929169402</v>
      </c>
      <c r="AI47" s="420">
        <f>SUM(AI33:AI46)</f>
        <v>52922.881929169402</v>
      </c>
      <c r="AJ47" s="211">
        <f>SUM(AG47:AI47)</f>
        <v>158768.6457875082</v>
      </c>
      <c r="AK47" s="212"/>
      <c r="AL47" s="535">
        <f>SUM(AL33:AL46)</f>
        <v>51370.881331598248</v>
      </c>
      <c r="AM47" s="420">
        <f>SUM(AM33:AM46)</f>
        <v>51370.881331598248</v>
      </c>
      <c r="AN47" s="420">
        <f>SUM(AN33:AN46)</f>
        <v>51370.881331598248</v>
      </c>
      <c r="AO47" s="211">
        <f>SUM(AL47:AN47)</f>
        <v>154112.64399479475</v>
      </c>
      <c r="AP47" s="212"/>
      <c r="AQ47" s="535">
        <f>SUM(AQ33:AQ46)</f>
        <v>48137.546319283705</v>
      </c>
      <c r="AR47" s="420">
        <f>SUM(AR33:AR46)</f>
        <v>48137.546319283705</v>
      </c>
      <c r="AS47" s="420">
        <f>SUM(AS33:AS46)</f>
        <v>48137.546319283705</v>
      </c>
      <c r="AT47" s="211">
        <f>SUM(AQ47:AS47)</f>
        <v>144412.6389578511</v>
      </c>
      <c r="AU47" s="212"/>
      <c r="AV47" s="618"/>
      <c r="AW47" s="535">
        <f>SUM(AW33:AW46)</f>
        <v>51537.546140679406</v>
      </c>
      <c r="AX47" s="420">
        <f>SUM(AX33:AX46)</f>
        <v>51537.546140679406</v>
      </c>
      <c r="AY47" s="420">
        <f>SUM(AY33:AY46)</f>
        <v>51537.546140679406</v>
      </c>
      <c r="AZ47" s="211">
        <f>SUM(AW47:AY47)</f>
        <v>154612.63842203823</v>
      </c>
      <c r="BA47" s="212"/>
      <c r="BB47" s="535">
        <f>SUM(BB33:BB46)</f>
        <v>46587.545973389606</v>
      </c>
      <c r="BC47" s="420">
        <f>SUM(BC33:BC46)</f>
        <v>46587.545973389606</v>
      </c>
      <c r="BD47" s="420">
        <f>SUM(BD33:BD46)</f>
        <v>46587.545973389606</v>
      </c>
      <c r="BE47" s="211">
        <f>SUM(BB47:BD47)</f>
        <v>139762.63792016881</v>
      </c>
      <c r="BF47" s="212"/>
      <c r="BG47" s="535">
        <f>SUM(BG33:BG46)</f>
        <v>46587.545973389606</v>
      </c>
      <c r="BH47" s="420">
        <f>SUM(BH33:BH46)</f>
        <v>46587.545973389606</v>
      </c>
      <c r="BI47" s="420">
        <f>SUM(BI33:BI46)</f>
        <v>46587.545973389606</v>
      </c>
      <c r="BJ47" s="211">
        <f>SUM(BG47:BI47)</f>
        <v>139762.63792016881</v>
      </c>
      <c r="BK47" s="212"/>
      <c r="BL47" s="535">
        <f>SUM(BL33:BL46)</f>
        <v>46587.545973389606</v>
      </c>
      <c r="BM47" s="420">
        <f>SUM(BM33:BM46)</f>
        <v>46587.545973389606</v>
      </c>
      <c r="BN47" s="420">
        <f>SUM(BN33:BN46)</f>
        <v>46587.545973389606</v>
      </c>
      <c r="BO47" s="211">
        <f>SUM(BL47:BN47)</f>
        <v>139762.63792016881</v>
      </c>
      <c r="BP47" s="212"/>
      <c r="BQ47" s="232"/>
      <c r="BR47" s="535">
        <f>SUM(BR33:BR46)</f>
        <v>46587.545973389606</v>
      </c>
      <c r="BS47" s="420">
        <f>SUM(BS33:BS46)</f>
        <v>46587.545973389606</v>
      </c>
      <c r="BT47" s="420">
        <f>SUM(BT33:BT46)</f>
        <v>46587.545973389606</v>
      </c>
      <c r="BU47" s="211">
        <f>SUM(BR47:BT47)</f>
        <v>139762.63792016881</v>
      </c>
      <c r="BV47" s="212"/>
      <c r="BW47" s="535">
        <f>SUM(BW33:BW46)</f>
        <v>46587.545973389606</v>
      </c>
      <c r="BX47" s="420">
        <f>SUM(BX33:BX46)</f>
        <v>46587.545973389606</v>
      </c>
      <c r="BY47" s="420">
        <f>SUM(BY33:BY46)</f>
        <v>46587.545973389606</v>
      </c>
      <c r="BZ47" s="211">
        <f>SUM(BW47:BY47)</f>
        <v>139762.63792016881</v>
      </c>
      <c r="CA47" s="212"/>
      <c r="CB47" s="535">
        <f>SUM(CB33:CB46)</f>
        <v>46587.545973389606</v>
      </c>
      <c r="CC47" s="420">
        <f>SUM(CC33:CC46)</f>
        <v>46587.545973389606</v>
      </c>
      <c r="CD47" s="420">
        <f>SUM(CD33:CD46)</f>
        <v>46587.545973389606</v>
      </c>
      <c r="CE47" s="211">
        <f>SUM(CB47:CD47)</f>
        <v>139762.63792016881</v>
      </c>
      <c r="CF47" s="212"/>
      <c r="CG47" s="535">
        <f>SUM(CG33:CG46)</f>
        <v>46587.545973389606</v>
      </c>
      <c r="CH47" s="420">
        <f>SUM(CH33:CH46)</f>
        <v>46587.545973389606</v>
      </c>
      <c r="CI47" s="420">
        <f>SUM(CI33:CI46)</f>
        <v>46587.545973389606</v>
      </c>
      <c r="CJ47" s="211">
        <f>SUM(CG47:CI47)</f>
        <v>139762.63792016881</v>
      </c>
      <c r="CK47" s="212"/>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row>
    <row r="48" spans="1:179" s="55" customFormat="1" ht="4.5" customHeight="1" thickBot="1" x14ac:dyDescent="0.2">
      <c r="A48" s="252"/>
      <c r="B48" s="192"/>
      <c r="C48" s="197"/>
      <c r="D48" s="192"/>
      <c r="E48" s="193"/>
      <c r="F48" s="253"/>
      <c r="G48" s="254"/>
      <c r="H48" s="254"/>
      <c r="I48" s="254"/>
      <c r="J48" s="254"/>
      <c r="K48" s="254"/>
      <c r="L48" s="254"/>
      <c r="M48" s="254"/>
      <c r="N48" s="254"/>
      <c r="O48" s="254"/>
      <c r="P48" s="254"/>
      <c r="Q48" s="254"/>
      <c r="R48" s="254"/>
      <c r="S48" s="254"/>
      <c r="T48" s="255"/>
      <c r="U48" s="258"/>
      <c r="V48" s="256"/>
      <c r="W48" s="254"/>
      <c r="X48" s="257"/>
      <c r="Y48" s="258"/>
      <c r="Z48" s="582"/>
      <c r="AA48" s="620"/>
      <c r="AB48" s="595"/>
      <c r="AC48" s="259"/>
      <c r="AD48" s="259"/>
      <c r="AE48" s="259"/>
      <c r="AF48" s="600"/>
      <c r="AG48" s="595"/>
      <c r="AH48" s="259"/>
      <c r="AI48" s="259"/>
      <c r="AJ48" s="259"/>
      <c r="AK48" s="600"/>
      <c r="AL48" s="595"/>
      <c r="AM48" s="259"/>
      <c r="AN48" s="259"/>
      <c r="AO48" s="259"/>
      <c r="AP48" s="600"/>
      <c r="AQ48" s="595"/>
      <c r="AR48" s="259"/>
      <c r="AS48" s="259"/>
      <c r="AT48" s="259"/>
      <c r="AU48" s="600"/>
      <c r="AV48" s="620"/>
      <c r="AW48" s="595"/>
      <c r="AX48" s="259"/>
      <c r="AY48" s="259"/>
      <c r="AZ48" s="259"/>
      <c r="BA48" s="600"/>
      <c r="BB48" s="595"/>
      <c r="BC48" s="259"/>
      <c r="BD48" s="259"/>
      <c r="BE48" s="259"/>
      <c r="BF48" s="600"/>
      <c r="BG48" s="595"/>
      <c r="BH48" s="259"/>
      <c r="BI48" s="259"/>
      <c r="BJ48" s="259"/>
      <c r="BK48" s="600"/>
      <c r="BL48" s="595"/>
      <c r="BM48" s="259"/>
      <c r="BN48" s="259"/>
      <c r="BO48" s="259"/>
      <c r="BP48" s="600"/>
      <c r="BQ48" s="258"/>
      <c r="BR48" s="595"/>
      <c r="BS48" s="259"/>
      <c r="BT48" s="259"/>
      <c r="BU48" s="259"/>
      <c r="BV48" s="600"/>
      <c r="BW48" s="595"/>
      <c r="BX48" s="259"/>
      <c r="BY48" s="259"/>
      <c r="BZ48" s="259"/>
      <c r="CA48" s="600"/>
      <c r="CB48" s="595"/>
      <c r="CC48" s="259"/>
      <c r="CD48" s="259"/>
      <c r="CE48" s="259"/>
      <c r="CF48" s="600"/>
      <c r="CG48" s="595"/>
      <c r="CH48" s="259"/>
      <c r="CI48" s="259"/>
      <c r="CJ48" s="260"/>
      <c r="CK48" s="261"/>
    </row>
    <row r="49" spans="1:179" s="57" customFormat="1" ht="15" customHeight="1" thickBot="1" x14ac:dyDescent="0.2">
      <c r="A49" s="433" t="s">
        <v>221</v>
      </c>
      <c r="B49" s="262"/>
      <c r="C49" s="263"/>
      <c r="D49" s="262"/>
      <c r="E49" s="264"/>
      <c r="F49" s="265">
        <f>AE49</f>
        <v>-126682.37574787604</v>
      </c>
      <c r="G49" s="266">
        <f>AJ49</f>
        <v>-158768.6457875082</v>
      </c>
      <c r="H49" s="266">
        <f>AO49</f>
        <v>-154112.64399479475</v>
      </c>
      <c r="I49" s="266">
        <f>AT49</f>
        <v>-144412.6389578511</v>
      </c>
      <c r="J49" s="267">
        <f>SUM(F49:I49)</f>
        <v>-583976.30448803003</v>
      </c>
      <c r="K49" s="266">
        <f>AZ49</f>
        <v>-154612.63842203823</v>
      </c>
      <c r="L49" s="268">
        <f>BE49</f>
        <v>-139762.63792016881</v>
      </c>
      <c r="M49" s="268">
        <f>BJ49</f>
        <v>-139762.63792016881</v>
      </c>
      <c r="N49" s="268">
        <f>BO49</f>
        <v>-139762.63792016881</v>
      </c>
      <c r="O49" s="267">
        <f>SUM(K49:N49)</f>
        <v>-573900.55218254472</v>
      </c>
      <c r="P49" s="268">
        <f>BU49</f>
        <v>-139762.63792016881</v>
      </c>
      <c r="Q49" s="268">
        <f>BZ49</f>
        <v>-139762.63792016881</v>
      </c>
      <c r="R49" s="268">
        <f>CE49</f>
        <v>-139762.63792016881</v>
      </c>
      <c r="S49" s="268">
        <f>CJ49</f>
        <v>-139762.63792016881</v>
      </c>
      <c r="T49" s="269">
        <f>SUM(P49:S49)</f>
        <v>-559050.55168067524</v>
      </c>
      <c r="U49" s="272"/>
      <c r="V49" s="270">
        <f>SUM(V30-V47)</f>
        <v>-515017.55168067524</v>
      </c>
      <c r="W49" s="267">
        <f>SUM(W30-W47)</f>
        <v>-515017.55168067524</v>
      </c>
      <c r="X49" s="271">
        <f>SUM(X30-X47)</f>
        <v>-515017.55168067524</v>
      </c>
      <c r="Y49" s="272"/>
      <c r="Z49" s="583">
        <f>SUM(Z30-Z47)</f>
        <v>-1083618.2</v>
      </c>
      <c r="AA49" s="621"/>
      <c r="AB49" s="596">
        <f>AB30-AB47</f>
        <v>-42227.458582625346</v>
      </c>
      <c r="AC49" s="273">
        <f>AC30-AC47</f>
        <v>-42227.458582625346</v>
      </c>
      <c r="AD49" s="273">
        <f>AD30-AD47</f>
        <v>-42227.458582625346</v>
      </c>
      <c r="AE49" s="274">
        <f>AE30-AE47</f>
        <v>-126682.37574787604</v>
      </c>
      <c r="AF49" s="601"/>
      <c r="AG49" s="596">
        <f>AG30-AG47</f>
        <v>-52922.881929169402</v>
      </c>
      <c r="AH49" s="273">
        <f>AH30-AH47</f>
        <v>-52922.881929169402</v>
      </c>
      <c r="AI49" s="273">
        <f>AI30-AI47</f>
        <v>-52922.881929169402</v>
      </c>
      <c r="AJ49" s="274">
        <f>AJ30-AJ47</f>
        <v>-158768.6457875082</v>
      </c>
      <c r="AK49" s="601"/>
      <c r="AL49" s="596">
        <f>AL30-AL47</f>
        <v>-51370.881331598248</v>
      </c>
      <c r="AM49" s="273">
        <f>AM30-AM47</f>
        <v>-51370.881331598248</v>
      </c>
      <c r="AN49" s="273">
        <f>AN30-AN47</f>
        <v>-51370.881331598248</v>
      </c>
      <c r="AO49" s="274">
        <f>AO30-AO47</f>
        <v>-154112.64399479475</v>
      </c>
      <c r="AP49" s="601"/>
      <c r="AQ49" s="596">
        <f>AQ30-AQ47</f>
        <v>-48137.546319283705</v>
      </c>
      <c r="AR49" s="273">
        <f>AR30-AR47</f>
        <v>-48137.546319283705</v>
      </c>
      <c r="AS49" s="273">
        <f>AS30-AS47</f>
        <v>-48137.546319283705</v>
      </c>
      <c r="AT49" s="274">
        <f>AT30-AT47</f>
        <v>-144412.6389578511</v>
      </c>
      <c r="AU49" s="601"/>
      <c r="AV49" s="621"/>
      <c r="AW49" s="596">
        <f>AW30-AW47</f>
        <v>-51537.546140679406</v>
      </c>
      <c r="AX49" s="273">
        <f>AX30-AX47</f>
        <v>-51537.546140679406</v>
      </c>
      <c r="AY49" s="273">
        <f>AY30-AY47</f>
        <v>-51537.546140679406</v>
      </c>
      <c r="AZ49" s="274">
        <f>AZ30-AZ47</f>
        <v>-154612.63842203823</v>
      </c>
      <c r="BA49" s="601"/>
      <c r="BB49" s="596">
        <f>BB30-BB47</f>
        <v>-46587.545973389606</v>
      </c>
      <c r="BC49" s="273">
        <f>BC30-BC47</f>
        <v>-46587.545973389606</v>
      </c>
      <c r="BD49" s="273">
        <f>BD30-BD47</f>
        <v>-46587.545973389606</v>
      </c>
      <c r="BE49" s="274">
        <f>BE30-BE47</f>
        <v>-139762.63792016881</v>
      </c>
      <c r="BF49" s="601"/>
      <c r="BG49" s="596">
        <f>BG30-BG47</f>
        <v>-46587.545973389606</v>
      </c>
      <c r="BH49" s="273">
        <f>BH30-BH47</f>
        <v>-46587.545973389606</v>
      </c>
      <c r="BI49" s="273">
        <f>BI30-BI47</f>
        <v>-46587.545973389606</v>
      </c>
      <c r="BJ49" s="274">
        <f>BJ30-BJ47</f>
        <v>-139762.63792016881</v>
      </c>
      <c r="BK49" s="601"/>
      <c r="BL49" s="596">
        <f>BL30-BL47</f>
        <v>-46587.545973389606</v>
      </c>
      <c r="BM49" s="273">
        <f>BM30-BM47</f>
        <v>-46587.545973389606</v>
      </c>
      <c r="BN49" s="273">
        <f>BN30-BN47</f>
        <v>-46587.545973389606</v>
      </c>
      <c r="BO49" s="274">
        <f>BO30-BO47</f>
        <v>-139762.63792016881</v>
      </c>
      <c r="BP49" s="601"/>
      <c r="BQ49" s="272"/>
      <c r="BR49" s="596">
        <f>BR30-BR47</f>
        <v>-46587.545973389606</v>
      </c>
      <c r="BS49" s="273">
        <f>BS30-BS47</f>
        <v>-46587.545973389606</v>
      </c>
      <c r="BT49" s="273">
        <f>BT30-BT47</f>
        <v>-46587.545973389606</v>
      </c>
      <c r="BU49" s="274">
        <f>BU30-BU47</f>
        <v>-139762.63792016881</v>
      </c>
      <c r="BV49" s="601"/>
      <c r="BW49" s="596">
        <f>BW30-BW47</f>
        <v>-46587.545973389606</v>
      </c>
      <c r="BX49" s="273">
        <f>BX30-BX47</f>
        <v>-46587.545973389606</v>
      </c>
      <c r="BY49" s="273">
        <f>BY30-BY47</f>
        <v>-46587.545973389606</v>
      </c>
      <c r="BZ49" s="274">
        <f>BZ30-BZ47</f>
        <v>-139762.63792016881</v>
      </c>
      <c r="CA49" s="601"/>
      <c r="CB49" s="596">
        <f>CB30-CB47</f>
        <v>-46587.545973389606</v>
      </c>
      <c r="CC49" s="273">
        <f>CC30-CC47</f>
        <v>-46587.545973389606</v>
      </c>
      <c r="CD49" s="273">
        <f>CD30-CD47</f>
        <v>-46587.545973389606</v>
      </c>
      <c r="CE49" s="274">
        <f>CE30-CE47</f>
        <v>-139762.63792016881</v>
      </c>
      <c r="CF49" s="601"/>
      <c r="CG49" s="596">
        <f>CG30-CG47</f>
        <v>-46587.545973389606</v>
      </c>
      <c r="CH49" s="273">
        <f>CH30-CH47</f>
        <v>-46587.545973389606</v>
      </c>
      <c r="CI49" s="273">
        <f>CI30-CI47</f>
        <v>-46587.545973389606</v>
      </c>
      <c r="CJ49" s="267">
        <f>CJ30-CJ47</f>
        <v>-139762.63792016881</v>
      </c>
      <c r="CK49" s="271"/>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row>
    <row r="50" spans="1:179" s="57" customFormat="1" ht="9.75" customHeight="1" x14ac:dyDescent="0.15">
      <c r="A50" s="54"/>
      <c r="B50" s="275"/>
      <c r="C50" s="275"/>
      <c r="D50" s="44"/>
      <c r="E50" s="44"/>
      <c r="F50" s="44"/>
      <c r="G50" s="44"/>
      <c r="H50" s="44"/>
      <c r="I50" s="44"/>
      <c r="J50" s="276"/>
      <c r="K50" s="44"/>
      <c r="L50" s="44"/>
      <c r="M50" s="44"/>
      <c r="N50" s="44"/>
      <c r="O50" s="276"/>
      <c r="P50" s="44"/>
      <c r="Q50" s="44"/>
      <c r="R50" s="44"/>
      <c r="S50" s="44"/>
      <c r="T50" s="44"/>
      <c r="U50" s="44"/>
      <c r="V50" s="44"/>
      <c r="W50" s="44"/>
      <c r="X50" s="44"/>
      <c r="Y50" s="276"/>
      <c r="Z50" s="276"/>
      <c r="AA50" s="276"/>
      <c r="AB50" s="54"/>
      <c r="AC50" s="55"/>
      <c r="AD50" s="55"/>
      <c r="AE50" s="55"/>
      <c r="AF50" s="55"/>
      <c r="AG50" s="55"/>
      <c r="AH50" s="55"/>
      <c r="AI50" s="55"/>
      <c r="AJ50" s="55"/>
      <c r="AK50" s="55"/>
      <c r="AL50" s="55"/>
      <c r="AM50" s="55"/>
      <c r="AN50" s="55"/>
      <c r="AO50" s="56"/>
      <c r="AP50" s="56"/>
      <c r="AQ50" s="56"/>
      <c r="AR50" s="56"/>
      <c r="AS50" s="56"/>
      <c r="AT50" s="56"/>
      <c r="AU50" s="56"/>
      <c r="AV50" s="276"/>
      <c r="AW50" s="56"/>
      <c r="AX50" s="56"/>
      <c r="AZ50" s="58"/>
      <c r="BA50" s="58"/>
      <c r="BB50" s="56"/>
      <c r="BC50" s="56"/>
      <c r="BD50" s="56"/>
      <c r="BE50" s="56"/>
      <c r="BF50" s="56"/>
      <c r="BG50" s="56"/>
      <c r="BH50" s="56"/>
      <c r="BI50" s="56"/>
      <c r="BJ50" s="56"/>
      <c r="BK50" s="56"/>
      <c r="BL50" s="56"/>
      <c r="BM50" s="56"/>
      <c r="BN50" s="56"/>
      <c r="BO50" s="56"/>
      <c r="BP50" s="56"/>
      <c r="BQ50" s="276"/>
      <c r="BR50" s="56"/>
      <c r="BS50" s="56"/>
      <c r="BU50" s="58"/>
      <c r="BV50" s="58"/>
      <c r="BW50" s="56"/>
      <c r="BX50" s="56"/>
      <c r="BY50" s="56"/>
      <c r="BZ50" s="56"/>
      <c r="CA50" s="56"/>
      <c r="CB50" s="56"/>
      <c r="CC50" s="56"/>
      <c r="CD50" s="56"/>
      <c r="CE50" s="56"/>
      <c r="CF50" s="56"/>
      <c r="CG50" s="56"/>
      <c r="CH50" s="56"/>
      <c r="CI50" s="56"/>
      <c r="CJ50" s="56"/>
      <c r="CK50" s="56"/>
    </row>
    <row r="51" spans="1:179" s="57" customFormat="1" ht="9.75" customHeight="1" x14ac:dyDescent="0.15">
      <c r="A51" s="277"/>
      <c r="B51" s="278"/>
      <c r="C51" s="278"/>
      <c r="D51" s="44"/>
      <c r="E51" s="44"/>
      <c r="F51" s="44"/>
      <c r="G51" s="44"/>
      <c r="H51" s="44"/>
      <c r="I51" s="44"/>
      <c r="J51" s="53"/>
      <c r="K51" s="44"/>
      <c r="L51" s="44"/>
      <c r="M51" s="44"/>
      <c r="N51" s="44"/>
      <c r="O51" s="53"/>
      <c r="P51" s="44"/>
      <c r="Q51" s="44"/>
      <c r="R51" s="44"/>
      <c r="S51" s="44"/>
      <c r="T51" s="44"/>
      <c r="U51" s="44"/>
      <c r="V51" s="44"/>
      <c r="W51" s="44"/>
      <c r="X51" s="44"/>
      <c r="Y51" s="53"/>
      <c r="Z51" s="53"/>
      <c r="AA51" s="53"/>
      <c r="AB51" s="54"/>
      <c r="AC51" s="55"/>
      <c r="AD51" s="55"/>
      <c r="AE51" s="55"/>
      <c r="AF51" s="55"/>
      <c r="AG51" s="55"/>
      <c r="AH51" s="55"/>
      <c r="AI51" s="55"/>
      <c r="AJ51" s="55"/>
      <c r="AK51" s="55"/>
      <c r="AL51" s="55"/>
      <c r="AM51" s="55"/>
      <c r="AN51" s="55"/>
      <c r="AO51" s="56"/>
      <c r="AP51" s="56"/>
      <c r="AQ51" s="56"/>
      <c r="AR51" s="56"/>
      <c r="AS51" s="56"/>
      <c r="AT51" s="56"/>
      <c r="AU51" s="56"/>
      <c r="AV51" s="53"/>
      <c r="AW51" s="56"/>
      <c r="AX51" s="56"/>
      <c r="AZ51" s="58"/>
      <c r="BA51" s="58"/>
      <c r="BB51" s="56"/>
      <c r="BC51" s="56"/>
      <c r="BD51" s="56"/>
      <c r="BE51" s="56"/>
      <c r="BF51" s="56"/>
      <c r="BG51" s="56"/>
      <c r="BH51" s="56"/>
      <c r="BI51" s="56"/>
      <c r="BJ51" s="56"/>
      <c r="BK51" s="56"/>
      <c r="BL51" s="56"/>
      <c r="BM51" s="56"/>
      <c r="BN51" s="56"/>
      <c r="BO51" s="56"/>
      <c r="BP51" s="56"/>
      <c r="BQ51" s="53"/>
      <c r="BR51" s="56"/>
      <c r="BS51" s="56"/>
      <c r="BU51" s="58"/>
      <c r="BV51" s="58"/>
      <c r="BW51" s="56"/>
      <c r="BX51" s="56"/>
      <c r="BY51" s="56"/>
      <c r="BZ51" s="56"/>
      <c r="CA51" s="56"/>
      <c r="CB51" s="56"/>
      <c r="CC51" s="56"/>
      <c r="CD51" s="56"/>
      <c r="CE51" s="56"/>
      <c r="CF51" s="56"/>
      <c r="CG51" s="56"/>
      <c r="CH51" s="56"/>
      <c r="CI51" s="56"/>
      <c r="CJ51" s="56"/>
      <c r="CK51" s="56"/>
    </row>
    <row r="52" spans="1:179" s="57" customFormat="1" ht="9.75" customHeight="1" x14ac:dyDescent="0.15">
      <c r="A52" s="279"/>
      <c r="B52" s="278"/>
      <c r="C52" s="278"/>
      <c r="D52" s="44"/>
      <c r="E52" s="44"/>
      <c r="F52" s="44"/>
      <c r="G52" s="44"/>
      <c r="H52" s="44"/>
      <c r="I52" s="44"/>
      <c r="J52" s="53"/>
      <c r="K52" s="44"/>
      <c r="L52" s="44"/>
      <c r="M52" s="44"/>
      <c r="N52" s="44"/>
      <c r="O52" s="53"/>
      <c r="P52" s="44"/>
      <c r="Q52" s="44"/>
      <c r="R52" s="44"/>
      <c r="S52" s="44"/>
      <c r="T52" s="44"/>
      <c r="U52" s="44"/>
      <c r="V52" s="44"/>
      <c r="W52" s="44"/>
      <c r="X52" s="44"/>
      <c r="Y52" s="53"/>
      <c r="Z52" s="53"/>
      <c r="AA52" s="53"/>
      <c r="AB52" s="54"/>
      <c r="AC52" s="55"/>
      <c r="AD52" s="55"/>
      <c r="AE52" s="55"/>
      <c r="AF52" s="55"/>
      <c r="AG52" s="55"/>
      <c r="AH52" s="55"/>
      <c r="AI52" s="55"/>
      <c r="AJ52" s="55"/>
      <c r="AK52" s="55"/>
      <c r="AL52" s="55"/>
      <c r="AM52" s="55"/>
      <c r="AN52" s="55"/>
      <c r="AO52" s="56"/>
      <c r="AP52" s="56"/>
      <c r="AQ52" s="56"/>
      <c r="AR52" s="56"/>
      <c r="AS52" s="56"/>
      <c r="AT52" s="56"/>
      <c r="AU52" s="56"/>
      <c r="AV52" s="53"/>
      <c r="AW52" s="56"/>
      <c r="AX52" s="56"/>
      <c r="AZ52" s="58"/>
      <c r="BA52" s="58"/>
      <c r="BB52" s="56"/>
      <c r="BC52" s="56"/>
      <c r="BD52" s="56"/>
      <c r="BE52" s="56"/>
      <c r="BF52" s="56"/>
      <c r="BG52" s="56"/>
      <c r="BH52" s="56"/>
      <c r="BI52" s="56"/>
      <c r="BJ52" s="56"/>
      <c r="BK52" s="56"/>
      <c r="BL52" s="56"/>
      <c r="BM52" s="56"/>
      <c r="BN52" s="56"/>
      <c r="BO52" s="56"/>
      <c r="BP52" s="56"/>
      <c r="BQ52" s="53"/>
      <c r="BR52" s="56"/>
      <c r="BS52" s="56"/>
      <c r="BU52" s="58"/>
      <c r="BV52" s="58"/>
      <c r="BW52" s="56"/>
      <c r="BX52" s="56"/>
      <c r="BY52" s="56"/>
      <c r="BZ52" s="56"/>
      <c r="CA52" s="56"/>
      <c r="CB52" s="56"/>
      <c r="CC52" s="56"/>
      <c r="CD52" s="56"/>
      <c r="CE52" s="56"/>
      <c r="CF52" s="56"/>
      <c r="CG52" s="56"/>
      <c r="CH52" s="56"/>
      <c r="CI52" s="56"/>
      <c r="CJ52" s="56"/>
      <c r="CK52" s="56"/>
    </row>
    <row r="53" spans="1:179" s="57" customFormat="1" ht="9.75" customHeight="1" x14ac:dyDescent="0.15">
      <c r="A53" s="70"/>
      <c r="B53" s="278"/>
      <c r="C53" s="278"/>
      <c r="D53" s="44"/>
      <c r="E53" s="44"/>
      <c r="F53" s="44"/>
      <c r="G53" s="44"/>
      <c r="H53" s="44"/>
      <c r="I53" s="44"/>
      <c r="J53" s="53"/>
      <c r="K53" s="44"/>
      <c r="L53" s="44"/>
      <c r="M53" s="44"/>
      <c r="N53" s="44"/>
      <c r="O53" s="53"/>
      <c r="P53" s="44"/>
      <c r="Q53" s="44"/>
      <c r="R53" s="44"/>
      <c r="S53" s="44"/>
      <c r="T53" s="44"/>
      <c r="U53" s="44"/>
      <c r="V53" s="44"/>
      <c r="W53" s="44"/>
      <c r="X53" s="44"/>
      <c r="Y53" s="53"/>
      <c r="Z53" s="53"/>
      <c r="AA53" s="53"/>
      <c r="AB53" s="54"/>
      <c r="AC53" s="55"/>
      <c r="AD53" s="55"/>
      <c r="AE53" s="55"/>
      <c r="AF53" s="55"/>
      <c r="AG53" s="55"/>
      <c r="AH53" s="55"/>
      <c r="AI53" s="55"/>
      <c r="AJ53" s="55"/>
      <c r="AK53" s="55"/>
      <c r="AL53" s="55"/>
      <c r="AM53" s="55"/>
      <c r="AN53" s="55"/>
      <c r="AO53" s="56"/>
      <c r="AP53" s="56"/>
      <c r="AQ53" s="56"/>
      <c r="AR53" s="56"/>
      <c r="AS53" s="56"/>
      <c r="AT53" s="56"/>
      <c r="AU53" s="56"/>
      <c r="AV53" s="53"/>
      <c r="AW53" s="56"/>
      <c r="AX53" s="56"/>
      <c r="AZ53" s="58"/>
      <c r="BA53" s="58"/>
      <c r="BB53" s="56"/>
      <c r="BC53" s="56"/>
      <c r="BD53" s="56"/>
      <c r="BE53" s="56"/>
      <c r="BF53" s="56"/>
      <c r="BG53" s="56"/>
      <c r="BH53" s="56"/>
      <c r="BI53" s="56"/>
      <c r="BJ53" s="56"/>
      <c r="BK53" s="56"/>
      <c r="BL53" s="56"/>
      <c r="BM53" s="56"/>
      <c r="BN53" s="56"/>
      <c r="BO53" s="56"/>
      <c r="BP53" s="56"/>
      <c r="BQ53" s="53"/>
      <c r="BR53" s="56"/>
      <c r="BS53" s="56"/>
      <c r="BU53" s="58"/>
      <c r="BV53" s="58"/>
      <c r="BW53" s="56"/>
      <c r="BX53" s="56"/>
      <c r="BY53" s="56"/>
      <c r="BZ53" s="56"/>
      <c r="CA53" s="56"/>
      <c r="CB53" s="56"/>
      <c r="CC53" s="56"/>
      <c r="CD53" s="56"/>
      <c r="CE53" s="56"/>
      <c r="CF53" s="56"/>
      <c r="CG53" s="56"/>
      <c r="CH53" s="56"/>
      <c r="CI53" s="56"/>
      <c r="CJ53" s="56"/>
      <c r="CK53" s="56"/>
    </row>
    <row r="54" spans="1:179" s="57" customFormat="1" ht="9.75" customHeight="1" x14ac:dyDescent="0.15">
      <c r="A54" s="277"/>
      <c r="B54" s="280"/>
      <c r="C54" s="280"/>
      <c r="D54" s="44"/>
      <c r="E54" s="44"/>
      <c r="F54" s="44"/>
      <c r="G54" s="44"/>
      <c r="H54" s="44"/>
      <c r="I54" s="44"/>
      <c r="J54" s="53"/>
      <c r="K54" s="44"/>
      <c r="L54" s="44"/>
      <c r="M54" s="44"/>
      <c r="N54" s="44"/>
      <c r="O54" s="53"/>
      <c r="P54" s="44"/>
      <c r="Q54" s="44"/>
      <c r="R54" s="44"/>
      <c r="S54" s="44"/>
      <c r="T54" s="44"/>
      <c r="U54" s="44"/>
      <c r="V54" s="44"/>
      <c r="W54" s="44"/>
      <c r="X54" s="44"/>
      <c r="Y54" s="53"/>
      <c r="Z54" s="53"/>
      <c r="AA54" s="53"/>
      <c r="AB54" s="54"/>
      <c r="AC54" s="55"/>
      <c r="AD54" s="55"/>
      <c r="AE54" s="55"/>
      <c r="AF54" s="55"/>
      <c r="AG54" s="55"/>
      <c r="AH54" s="55"/>
      <c r="AI54" s="55"/>
      <c r="AJ54" s="55"/>
      <c r="AK54" s="55"/>
      <c r="AL54" s="55"/>
      <c r="AM54" s="55"/>
      <c r="AN54" s="55"/>
      <c r="AO54" s="56"/>
      <c r="AP54" s="56"/>
      <c r="AQ54" s="56"/>
      <c r="AR54" s="56"/>
      <c r="AS54" s="56"/>
      <c r="AT54" s="56"/>
      <c r="AU54" s="56"/>
      <c r="AV54" s="53"/>
      <c r="AW54" s="56"/>
      <c r="AX54" s="56"/>
      <c r="AZ54" s="58"/>
      <c r="BA54" s="58"/>
      <c r="BB54" s="56"/>
      <c r="BC54" s="56"/>
      <c r="BD54" s="56"/>
      <c r="BE54" s="56"/>
      <c r="BF54" s="56"/>
      <c r="BG54" s="56"/>
      <c r="BH54" s="56"/>
      <c r="BI54" s="56"/>
      <c r="BJ54" s="56"/>
      <c r="BK54" s="56"/>
      <c r="BL54" s="56"/>
      <c r="BM54" s="56"/>
      <c r="BN54" s="56"/>
      <c r="BO54" s="56"/>
      <c r="BP54" s="56"/>
      <c r="BQ54" s="53"/>
      <c r="BR54" s="56"/>
      <c r="BS54" s="56"/>
      <c r="BU54" s="58"/>
      <c r="BV54" s="58"/>
      <c r="BW54" s="56"/>
      <c r="BX54" s="56"/>
      <c r="BY54" s="56"/>
      <c r="BZ54" s="56"/>
      <c r="CA54" s="56"/>
      <c r="CB54" s="56"/>
      <c r="CC54" s="56"/>
      <c r="CD54" s="56"/>
      <c r="CE54" s="56"/>
      <c r="CF54" s="56"/>
      <c r="CG54" s="56"/>
      <c r="CH54" s="56"/>
      <c r="CI54" s="56"/>
      <c r="CJ54" s="56"/>
      <c r="CK54" s="56"/>
    </row>
    <row r="55" spans="1:179" s="57" customFormat="1" ht="11.25" customHeight="1" x14ac:dyDescent="0.15">
      <c r="A55" s="54"/>
      <c r="B55" s="54"/>
      <c r="C55" s="54"/>
      <c r="D55" s="44"/>
      <c r="E55" s="44"/>
      <c r="F55" s="44"/>
      <c r="G55" s="44"/>
      <c r="H55" s="44"/>
      <c r="I55" s="44"/>
      <c r="J55" s="64" t="s">
        <v>40</v>
      </c>
      <c r="K55" s="44"/>
      <c r="L55" s="44"/>
      <c r="M55" s="44"/>
      <c r="N55" s="44"/>
      <c r="O55" s="65"/>
      <c r="P55" s="44"/>
      <c r="Q55" s="44"/>
      <c r="R55" s="44"/>
      <c r="S55" s="44"/>
      <c r="T55" s="44"/>
      <c r="U55" s="44"/>
      <c r="V55" s="44"/>
      <c r="W55" s="44"/>
      <c r="X55" s="44"/>
      <c r="Y55" s="65"/>
      <c r="Z55" s="65"/>
      <c r="AA55" s="65"/>
      <c r="AB55" s="55"/>
      <c r="AC55" s="55"/>
      <c r="AD55" s="55"/>
      <c r="AE55" s="55"/>
      <c r="AF55" s="55"/>
      <c r="AG55" s="55"/>
      <c r="AH55" s="55"/>
      <c r="AI55" s="55"/>
      <c r="AJ55" s="55"/>
      <c r="AK55" s="55"/>
      <c r="AL55" s="55"/>
      <c r="AM55" s="55"/>
      <c r="AN55" s="55"/>
      <c r="AV55" s="65"/>
      <c r="AZ55" s="66"/>
      <c r="BA55" s="66"/>
      <c r="BQ55" s="65"/>
      <c r="BU55" s="66"/>
      <c r="BV55" s="66"/>
    </row>
    <row r="56" spans="1:179" s="57" customFormat="1" ht="11.25" customHeight="1" x14ac:dyDescent="0.15">
      <c r="A56" s="54"/>
      <c r="B56" s="54"/>
      <c r="C56" s="54"/>
      <c r="D56" s="44"/>
      <c r="E56" s="44"/>
      <c r="F56" s="44"/>
      <c r="G56" s="44"/>
      <c r="H56" s="44"/>
      <c r="I56" s="44"/>
      <c r="J56" s="64" t="s">
        <v>40</v>
      </c>
      <c r="K56" s="44"/>
      <c r="L56" s="44"/>
      <c r="M56" s="44"/>
      <c r="N56" s="44"/>
      <c r="O56" s="65"/>
      <c r="P56" s="44"/>
      <c r="Q56" s="44"/>
      <c r="R56" s="44"/>
      <c r="S56" s="44"/>
      <c r="T56" s="44"/>
      <c r="U56" s="44"/>
      <c r="V56" s="44"/>
      <c r="W56" s="44"/>
      <c r="X56" s="44"/>
      <c r="Y56" s="65"/>
      <c r="Z56" s="65"/>
      <c r="AA56" s="65"/>
      <c r="AB56" s="69"/>
      <c r="AC56" s="55"/>
      <c r="AD56" s="55"/>
      <c r="AE56" s="70"/>
      <c r="AF56" s="70"/>
      <c r="AG56" s="54"/>
      <c r="AH56" s="54"/>
      <c r="AI56" s="54"/>
      <c r="AJ56" s="54"/>
      <c r="AK56" s="54"/>
      <c r="AL56" s="54"/>
      <c r="AM56" s="54"/>
      <c r="AN56" s="54"/>
      <c r="AO56" s="56"/>
      <c r="AP56" s="56"/>
      <c r="AQ56" s="56"/>
      <c r="AR56" s="56"/>
      <c r="AS56" s="56"/>
      <c r="AT56" s="56"/>
      <c r="AU56" s="56"/>
      <c r="AV56" s="65"/>
      <c r="AW56" s="56"/>
      <c r="AX56" s="56"/>
      <c r="AZ56" s="58"/>
      <c r="BA56" s="58"/>
      <c r="BB56" s="56"/>
      <c r="BC56" s="56"/>
      <c r="BD56" s="56"/>
      <c r="BE56" s="56"/>
      <c r="BF56" s="56"/>
      <c r="BG56" s="56"/>
      <c r="BH56" s="56"/>
      <c r="BI56" s="56"/>
      <c r="BJ56" s="56"/>
      <c r="BK56" s="56"/>
      <c r="BL56" s="56"/>
      <c r="BM56" s="56"/>
      <c r="BN56" s="56"/>
      <c r="BO56" s="56"/>
      <c r="BP56" s="56"/>
      <c r="BQ56" s="65"/>
      <c r="BR56" s="56"/>
      <c r="BS56" s="56"/>
      <c r="BU56" s="58"/>
      <c r="BV56" s="58"/>
      <c r="BW56" s="56"/>
      <c r="BX56" s="56"/>
      <c r="BY56" s="56"/>
      <c r="BZ56" s="56"/>
      <c r="CA56" s="56"/>
      <c r="CB56" s="56"/>
      <c r="CC56" s="56"/>
      <c r="CD56" s="56"/>
      <c r="CE56" s="56"/>
      <c r="CF56" s="56"/>
      <c r="CG56" s="56"/>
      <c r="CH56" s="56"/>
      <c r="CI56" s="56"/>
      <c r="CJ56" s="56"/>
      <c r="CK56" s="56"/>
    </row>
    <row r="57" spans="1:179" s="57" customFormat="1" ht="11.25" customHeight="1" x14ac:dyDescent="0.2">
      <c r="A57" s="54"/>
      <c r="B57" s="54"/>
      <c r="C57" s="54"/>
      <c r="D57" s="87"/>
      <c r="E57" s="87"/>
      <c r="F57" s="39"/>
      <c r="G57" s="88"/>
      <c r="H57" s="39"/>
      <c r="I57" s="87"/>
      <c r="J57" s="64" t="s">
        <v>40</v>
      </c>
      <c r="K57" s="87"/>
      <c r="L57" s="39"/>
      <c r="M57" s="87"/>
      <c r="N57" s="39"/>
      <c r="O57" s="72"/>
      <c r="P57" s="39"/>
      <c r="Q57" s="41"/>
      <c r="R57" s="41"/>
      <c r="S57" s="41"/>
      <c r="T57" s="41"/>
      <c r="U57" s="41"/>
      <c r="V57" s="41"/>
      <c r="W57" s="41"/>
      <c r="X57" s="41"/>
      <c r="Y57" s="72"/>
      <c r="Z57" s="72"/>
      <c r="AA57" s="72"/>
      <c r="AB57" s="55"/>
      <c r="AC57" s="55"/>
      <c r="AD57" s="55"/>
      <c r="AE57" s="73"/>
      <c r="AF57" s="73"/>
      <c r="AG57" s="55"/>
      <c r="AH57" s="55"/>
      <c r="AI57" s="55"/>
      <c r="AJ57" s="55"/>
      <c r="AK57" s="55"/>
      <c r="AL57" s="55"/>
      <c r="AM57" s="55"/>
      <c r="AN57" s="55"/>
      <c r="AV57" s="72"/>
      <c r="AZ57" s="74"/>
      <c r="BA57" s="74"/>
      <c r="BQ57" s="72"/>
      <c r="BU57" s="74"/>
      <c r="BV57" s="74"/>
    </row>
    <row r="58" spans="1:179" s="57" customFormat="1" ht="11.25" customHeight="1" x14ac:dyDescent="0.15">
      <c r="A58" s="54"/>
      <c r="B58" s="54"/>
      <c r="C58" s="54"/>
      <c r="D58" s="44"/>
      <c r="E58" s="44"/>
      <c r="F58" s="44"/>
      <c r="G58" s="44"/>
      <c r="H58" s="44"/>
      <c r="I58" s="44"/>
      <c r="J58" s="64"/>
      <c r="K58" s="44"/>
      <c r="L58" s="44"/>
      <c r="M58" s="44"/>
      <c r="N58" s="44"/>
      <c r="O58" s="72"/>
      <c r="P58" s="44"/>
      <c r="Q58" s="44"/>
      <c r="R58" s="44"/>
      <c r="S58" s="44"/>
      <c r="T58" s="44"/>
      <c r="U58" s="44"/>
      <c r="V58" s="44"/>
      <c r="W58" s="44"/>
      <c r="X58" s="44"/>
      <c r="Y58" s="72"/>
      <c r="Z58" s="72"/>
      <c r="AA58" s="72"/>
      <c r="AB58" s="55"/>
      <c r="AC58" s="55"/>
      <c r="AD58" s="55"/>
      <c r="AE58" s="73"/>
      <c r="AF58" s="73"/>
      <c r="AG58" s="55"/>
      <c r="AH58" s="55"/>
      <c r="AI58" s="55"/>
      <c r="AJ58" s="55"/>
      <c r="AK58" s="55"/>
      <c r="AL58" s="55"/>
      <c r="AM58" s="55"/>
      <c r="AN58" s="55"/>
      <c r="AV58" s="72"/>
      <c r="AZ58" s="74"/>
      <c r="BA58" s="74"/>
      <c r="BQ58" s="72"/>
      <c r="BU58" s="74"/>
      <c r="BV58" s="74"/>
    </row>
    <row r="59" spans="1:179" s="57" customFormat="1" ht="11.25" customHeight="1" x14ac:dyDescent="0.15">
      <c r="A59" s="86"/>
      <c r="B59" s="54"/>
      <c r="C59" s="54"/>
      <c r="D59" s="44"/>
      <c r="E59" s="44"/>
      <c r="F59" s="44"/>
      <c r="G59" s="44"/>
      <c r="H59" s="44"/>
      <c r="I59" s="44"/>
      <c r="J59" s="64"/>
      <c r="K59" s="44"/>
      <c r="L59" s="44"/>
      <c r="M59" s="44"/>
      <c r="N59" s="44"/>
      <c r="O59" s="65"/>
      <c r="P59" s="44"/>
      <c r="Q59" s="44"/>
      <c r="R59" s="44"/>
      <c r="S59" s="44"/>
      <c r="T59" s="44"/>
      <c r="U59" s="44"/>
      <c r="V59" s="44"/>
      <c r="W59" s="44"/>
      <c r="X59" s="44"/>
      <c r="Y59" s="65"/>
      <c r="Z59" s="65"/>
      <c r="AA59" s="65"/>
      <c r="AB59" s="55"/>
      <c r="AC59" s="55"/>
      <c r="AD59" s="55"/>
      <c r="AE59" s="55"/>
      <c r="AF59" s="55"/>
      <c r="AG59" s="55"/>
      <c r="AH59" s="55"/>
      <c r="AI59" s="55"/>
      <c r="AJ59" s="55"/>
      <c r="AK59" s="55"/>
      <c r="AL59" s="55"/>
      <c r="AM59" s="55"/>
      <c r="AN59" s="55"/>
      <c r="AV59" s="65"/>
      <c r="AZ59" s="66"/>
      <c r="BA59" s="66"/>
      <c r="BQ59" s="65"/>
      <c r="BU59" s="66"/>
      <c r="BV59" s="66"/>
    </row>
    <row r="60" spans="1:179" s="57" customFormat="1" ht="11.25" customHeight="1" x14ac:dyDescent="0.15">
      <c r="A60" s="54"/>
      <c r="B60" s="281"/>
      <c r="C60" s="54"/>
      <c r="D60" s="44"/>
      <c r="E60" s="44"/>
      <c r="F60" s="44"/>
      <c r="G60" s="44"/>
      <c r="H60" s="44"/>
      <c r="I60" s="44"/>
      <c r="J60" s="64"/>
      <c r="K60" s="44"/>
      <c r="L60" s="44"/>
      <c r="M60" s="44"/>
      <c r="N60" s="44"/>
      <c r="O60" s="65"/>
      <c r="P60" s="44"/>
      <c r="Q60" s="44"/>
      <c r="R60" s="44"/>
      <c r="S60" s="44"/>
      <c r="T60" s="44"/>
      <c r="U60" s="44"/>
      <c r="V60" s="44"/>
      <c r="W60" s="44"/>
      <c r="X60" s="44"/>
      <c r="Y60" s="65"/>
      <c r="Z60" s="65"/>
      <c r="AA60" s="65"/>
      <c r="AB60" s="55"/>
      <c r="AC60" s="55"/>
      <c r="AD60" s="55"/>
      <c r="AE60" s="55"/>
      <c r="AF60" s="55"/>
      <c r="AG60" s="55"/>
      <c r="AH60" s="55"/>
      <c r="AI60" s="55"/>
      <c r="AJ60" s="55"/>
      <c r="AK60" s="55"/>
      <c r="AL60" s="55"/>
      <c r="AM60" s="55"/>
      <c r="AN60" s="55"/>
      <c r="AV60" s="65"/>
      <c r="AZ60" s="66"/>
      <c r="BA60" s="66"/>
      <c r="BQ60" s="65"/>
      <c r="BU60" s="66"/>
      <c r="BV60" s="66"/>
    </row>
    <row r="61" spans="1:179" s="57" customFormat="1" ht="11.25" customHeight="1" x14ac:dyDescent="0.15">
      <c r="A61" s="54"/>
      <c r="B61" s="281"/>
      <c r="C61" s="54"/>
      <c r="D61" s="44"/>
      <c r="E61" s="44"/>
      <c r="F61" s="44"/>
      <c r="G61" s="44"/>
      <c r="H61" s="44"/>
      <c r="I61" s="44"/>
      <c r="J61" s="64"/>
      <c r="K61" s="44"/>
      <c r="L61" s="44"/>
      <c r="M61" s="44"/>
      <c r="N61" s="44"/>
      <c r="O61" s="65"/>
      <c r="P61" s="44"/>
      <c r="Q61" s="44"/>
      <c r="R61" s="44"/>
      <c r="S61" s="44"/>
      <c r="T61" s="44"/>
      <c r="U61" s="44"/>
      <c r="V61" s="44"/>
      <c r="W61" s="44"/>
      <c r="X61" s="44"/>
      <c r="Y61" s="65"/>
      <c r="Z61" s="65"/>
      <c r="AA61" s="65"/>
      <c r="AB61" s="55"/>
      <c r="AC61" s="55"/>
      <c r="AD61" s="55"/>
      <c r="AE61" s="55"/>
      <c r="AF61" s="55"/>
      <c r="AG61" s="55"/>
      <c r="AH61" s="55"/>
      <c r="AI61" s="55"/>
      <c r="AJ61" s="55"/>
      <c r="AK61" s="55"/>
      <c r="AL61" s="55"/>
      <c r="AM61" s="55"/>
      <c r="AN61" s="55"/>
      <c r="AV61" s="65"/>
      <c r="AZ61" s="66"/>
      <c r="BA61" s="66"/>
      <c r="BQ61" s="65"/>
      <c r="BU61" s="66"/>
      <c r="BV61" s="66"/>
    </row>
    <row r="62" spans="1:179" s="57" customFormat="1" ht="11.25" customHeight="1" x14ac:dyDescent="0.15">
      <c r="A62" s="54"/>
      <c r="B62" s="54"/>
      <c r="C62" s="54"/>
      <c r="D62" s="44"/>
      <c r="E62" s="44"/>
      <c r="F62" s="44"/>
      <c r="G62" s="44"/>
      <c r="H62" s="44"/>
      <c r="I62" s="44"/>
      <c r="J62" s="64" t="s">
        <v>40</v>
      </c>
      <c r="K62" s="44"/>
      <c r="L62" s="44"/>
      <c r="M62" s="44"/>
      <c r="N62" s="44"/>
      <c r="O62" s="65"/>
      <c r="P62" s="44"/>
      <c r="Q62" s="44"/>
      <c r="R62" s="44"/>
      <c r="S62" s="44"/>
      <c r="T62" s="44"/>
      <c r="U62" s="44"/>
      <c r="V62" s="44"/>
      <c r="W62" s="44"/>
      <c r="X62" s="44"/>
      <c r="Y62" s="65"/>
      <c r="Z62" s="65"/>
      <c r="AA62" s="65"/>
      <c r="AB62" s="55"/>
      <c r="AC62" s="55"/>
      <c r="AD62" s="73"/>
      <c r="AE62" s="55"/>
      <c r="AF62" s="55"/>
      <c r="AG62" s="55"/>
      <c r="AH62" s="55"/>
      <c r="AI62" s="55"/>
      <c r="AJ62" s="55"/>
      <c r="AK62" s="55"/>
      <c r="AL62" s="55"/>
      <c r="AM62" s="55"/>
      <c r="AN62" s="55"/>
      <c r="AV62" s="65"/>
      <c r="AY62" s="74"/>
      <c r="BQ62" s="65"/>
      <c r="BT62" s="74"/>
    </row>
    <row r="63" spans="1:179" s="57" customFormat="1" ht="11.25" customHeight="1" x14ac:dyDescent="0.15">
      <c r="A63" s="54"/>
      <c r="B63" s="54"/>
      <c r="C63" s="54"/>
      <c r="D63" s="44"/>
      <c r="E63" s="44"/>
      <c r="F63" s="44"/>
      <c r="G63" s="44"/>
      <c r="H63" s="44"/>
      <c r="I63" s="44"/>
      <c r="J63" s="78" t="s">
        <v>40</v>
      </c>
      <c r="K63" s="44"/>
      <c r="L63" s="44"/>
      <c r="M63" s="44"/>
      <c r="N63" s="44"/>
      <c r="O63" s="53"/>
      <c r="P63" s="44"/>
      <c r="Q63" s="44"/>
      <c r="R63" s="44"/>
      <c r="S63" s="44"/>
      <c r="T63" s="44"/>
      <c r="U63" s="44"/>
      <c r="V63" s="44"/>
      <c r="W63" s="44"/>
      <c r="X63" s="44"/>
      <c r="Y63" s="53"/>
      <c r="Z63" s="53"/>
      <c r="AA63" s="53"/>
      <c r="AB63" s="54"/>
      <c r="AC63" s="55"/>
      <c r="AD63" s="55"/>
      <c r="AE63" s="55"/>
      <c r="AF63" s="79"/>
      <c r="AG63" s="55"/>
      <c r="AH63" s="55"/>
      <c r="AI63" s="55"/>
      <c r="AJ63" s="55"/>
      <c r="AK63" s="55"/>
      <c r="AL63" s="55"/>
      <c r="AM63" s="55"/>
      <c r="AN63" s="55"/>
      <c r="AO63" s="56"/>
      <c r="AP63" s="56"/>
      <c r="AQ63" s="56"/>
      <c r="AR63" s="56"/>
      <c r="AS63" s="56"/>
      <c r="AT63" s="56"/>
      <c r="AU63" s="56"/>
      <c r="AV63" s="53"/>
      <c r="AW63" s="56"/>
      <c r="AX63" s="56"/>
      <c r="AZ63" s="58"/>
      <c r="BA63" s="58"/>
      <c r="BB63" s="56"/>
      <c r="BC63" s="56"/>
      <c r="BD63" s="56"/>
      <c r="BE63" s="56"/>
      <c r="BF63" s="56"/>
      <c r="BG63" s="56"/>
      <c r="BH63" s="56"/>
      <c r="BI63" s="56"/>
      <c r="BJ63" s="56"/>
      <c r="BK63" s="56"/>
      <c r="BL63" s="56"/>
      <c r="BM63" s="56"/>
      <c r="BN63" s="56"/>
      <c r="BO63" s="56"/>
      <c r="BP63" s="56"/>
      <c r="BQ63" s="53"/>
      <c r="BR63" s="56"/>
      <c r="BS63" s="56"/>
      <c r="BU63" s="58"/>
      <c r="BV63" s="58"/>
      <c r="BW63" s="56"/>
      <c r="BX63" s="56"/>
      <c r="BY63" s="56"/>
      <c r="BZ63" s="56"/>
      <c r="CA63" s="56"/>
      <c r="CB63" s="56"/>
      <c r="CC63" s="56"/>
      <c r="CD63" s="56"/>
      <c r="CE63" s="56"/>
      <c r="CF63" s="56"/>
      <c r="CG63" s="56"/>
      <c r="CH63" s="56"/>
      <c r="CI63" s="56"/>
      <c r="CJ63" s="56"/>
      <c r="CK63" s="56"/>
    </row>
    <row r="64" spans="1:179" s="57" customFormat="1" ht="11.25" customHeight="1" x14ac:dyDescent="0.15">
      <c r="A64" s="54"/>
      <c r="B64" s="281"/>
      <c r="C64" s="54"/>
      <c r="D64" s="44"/>
      <c r="E64" s="44"/>
      <c r="F64" s="44"/>
      <c r="G64" s="44"/>
      <c r="H64" s="44"/>
      <c r="I64" s="44"/>
      <c r="J64" s="78"/>
      <c r="K64" s="44"/>
      <c r="L64" s="44"/>
      <c r="M64" s="44"/>
      <c r="N64" s="44"/>
      <c r="O64" s="53"/>
      <c r="P64" s="44"/>
      <c r="Q64" s="44"/>
      <c r="R64" s="44"/>
      <c r="S64" s="44"/>
      <c r="T64" s="44"/>
      <c r="U64" s="44"/>
      <c r="V64" s="44"/>
      <c r="W64" s="44"/>
      <c r="X64" s="44"/>
      <c r="Y64" s="53"/>
      <c r="Z64" s="53"/>
      <c r="AA64" s="53"/>
      <c r="AB64" s="54"/>
      <c r="AC64" s="55"/>
      <c r="AD64" s="55"/>
      <c r="AE64" s="55"/>
      <c r="AF64" s="79"/>
      <c r="AG64" s="55"/>
      <c r="AH64" s="55"/>
      <c r="AI64" s="55"/>
      <c r="AJ64" s="55"/>
      <c r="AK64" s="55"/>
      <c r="AL64" s="55"/>
      <c r="AM64" s="55"/>
      <c r="AN64" s="55"/>
      <c r="AO64" s="56"/>
      <c r="AP64" s="56"/>
      <c r="AQ64" s="56"/>
      <c r="AR64" s="56"/>
      <c r="AS64" s="56"/>
      <c r="AT64" s="56"/>
      <c r="AU64" s="56"/>
      <c r="AV64" s="53"/>
      <c r="AW64" s="56"/>
      <c r="AX64" s="56"/>
      <c r="AZ64" s="58"/>
      <c r="BA64" s="58"/>
      <c r="BB64" s="56"/>
      <c r="BC64" s="56"/>
      <c r="BD64" s="56"/>
      <c r="BE64" s="56"/>
      <c r="BF64" s="56"/>
      <c r="BG64" s="56"/>
      <c r="BH64" s="56"/>
      <c r="BI64" s="56"/>
      <c r="BJ64" s="56"/>
      <c r="BK64" s="56"/>
      <c r="BL64" s="56"/>
      <c r="BM64" s="56"/>
      <c r="BN64" s="56"/>
      <c r="BO64" s="56"/>
      <c r="BP64" s="56"/>
      <c r="BQ64" s="53"/>
      <c r="BR64" s="56"/>
      <c r="BS64" s="56"/>
      <c r="BU64" s="58"/>
      <c r="BV64" s="58"/>
      <c r="BW64" s="56"/>
      <c r="BX64" s="56"/>
      <c r="BY64" s="56"/>
      <c r="BZ64" s="56"/>
      <c r="CA64" s="56"/>
      <c r="CB64" s="56"/>
      <c r="CC64" s="56"/>
      <c r="CD64" s="56"/>
      <c r="CE64" s="56"/>
      <c r="CF64" s="56"/>
      <c r="CG64" s="56"/>
      <c r="CH64" s="56"/>
      <c r="CI64" s="56"/>
      <c r="CJ64" s="56"/>
      <c r="CK64" s="56"/>
    </row>
    <row r="65" spans="1:89" x14ac:dyDescent="0.2">
      <c r="A65" s="54"/>
      <c r="B65" s="54"/>
      <c r="C65" s="54"/>
      <c r="J65" s="80" t="s">
        <v>40</v>
      </c>
      <c r="O65" s="81"/>
      <c r="Y65" s="81"/>
      <c r="Z65" s="81"/>
      <c r="AA65" s="81"/>
      <c r="AB65" s="82"/>
      <c r="AC65" s="83"/>
      <c r="AD65" s="83"/>
      <c r="AE65" s="83"/>
      <c r="AF65" s="83"/>
      <c r="AG65" s="83"/>
      <c r="AH65" s="83"/>
      <c r="AI65" s="83"/>
      <c r="AJ65" s="83"/>
      <c r="AK65" s="83"/>
      <c r="AL65" s="83"/>
      <c r="AM65" s="83"/>
      <c r="AN65" s="83"/>
      <c r="AV65" s="81"/>
      <c r="BQ65" s="81"/>
    </row>
    <row r="66" spans="1:89" s="57" customFormat="1" ht="11.25" customHeight="1" x14ac:dyDescent="0.15">
      <c r="A66" s="54"/>
      <c r="B66" s="54"/>
      <c r="C66" s="54"/>
      <c r="D66" s="44"/>
      <c r="E66" s="44"/>
      <c r="F66" s="44"/>
      <c r="G66" s="44"/>
      <c r="H66" s="44"/>
      <c r="I66" s="44"/>
      <c r="J66" s="64" t="s">
        <v>40</v>
      </c>
      <c r="K66" s="44"/>
      <c r="L66" s="44"/>
      <c r="M66" s="44"/>
      <c r="N66" s="44"/>
      <c r="O66" s="65"/>
      <c r="P66" s="44"/>
      <c r="Q66" s="44"/>
      <c r="R66" s="44"/>
      <c r="S66" s="44"/>
      <c r="T66" s="44"/>
      <c r="U66" s="44"/>
      <c r="V66" s="44"/>
      <c r="W66" s="44"/>
      <c r="X66" s="44"/>
      <c r="Y66" s="65"/>
      <c r="Z66" s="65"/>
      <c r="AA66" s="65"/>
      <c r="AB66" s="55"/>
      <c r="AC66" s="55"/>
      <c r="AD66" s="55"/>
      <c r="AE66" s="55"/>
      <c r="AF66" s="55"/>
      <c r="AG66" s="55"/>
      <c r="AH66" s="55"/>
      <c r="AI66" s="55"/>
      <c r="AJ66" s="55"/>
      <c r="AK66" s="55"/>
      <c r="AL66" s="55"/>
      <c r="AM66" s="55"/>
      <c r="AN66" s="55"/>
      <c r="AV66" s="65"/>
      <c r="AY66" s="74"/>
      <c r="BQ66" s="65"/>
      <c r="BT66" s="74"/>
    </row>
    <row r="67" spans="1:89" s="57" customFormat="1" ht="11.25" customHeight="1" x14ac:dyDescent="0.15">
      <c r="A67" s="54"/>
      <c r="B67" s="54"/>
      <c r="C67" s="54"/>
      <c r="D67" s="44"/>
      <c r="E67" s="44"/>
      <c r="F67" s="44"/>
      <c r="G67" s="44"/>
      <c r="H67" s="44"/>
      <c r="I67" s="44"/>
      <c r="J67" s="64" t="s">
        <v>40</v>
      </c>
      <c r="K67" s="44"/>
      <c r="L67" s="44"/>
      <c r="M67" s="44"/>
      <c r="N67" s="44"/>
      <c r="O67" s="65"/>
      <c r="P67" s="44"/>
      <c r="Q67" s="44"/>
      <c r="R67" s="44"/>
      <c r="S67" s="44"/>
      <c r="T67" s="44"/>
      <c r="U67" s="44"/>
      <c r="V67" s="44"/>
      <c r="W67" s="44"/>
      <c r="X67" s="44"/>
      <c r="Y67" s="65"/>
      <c r="Z67" s="65"/>
      <c r="AA67" s="65"/>
      <c r="AB67" s="55"/>
      <c r="AC67" s="55"/>
      <c r="AD67" s="55"/>
      <c r="AE67" s="55"/>
      <c r="AF67" s="55"/>
      <c r="AG67" s="55"/>
      <c r="AH67" s="55"/>
      <c r="AI67" s="55"/>
      <c r="AJ67" s="55"/>
      <c r="AK67" s="55"/>
      <c r="AL67" s="55"/>
      <c r="AM67" s="55"/>
      <c r="AN67" s="55"/>
      <c r="AV67" s="65"/>
      <c r="BQ67" s="65"/>
    </row>
    <row r="68" spans="1:89" s="57" customFormat="1" ht="11.25" customHeight="1" x14ac:dyDescent="0.15">
      <c r="A68" s="54"/>
      <c r="B68" s="281"/>
      <c r="C68" s="54"/>
      <c r="D68" s="44"/>
      <c r="E68" s="44"/>
      <c r="F68" s="44"/>
      <c r="G68" s="44"/>
      <c r="H68" s="44"/>
      <c r="I68" s="44"/>
      <c r="J68" s="64"/>
      <c r="K68" s="44"/>
      <c r="L68" s="44"/>
      <c r="M68" s="44"/>
      <c r="N68" s="44"/>
      <c r="O68" s="65"/>
      <c r="P68" s="44"/>
      <c r="Q68" s="44"/>
      <c r="R68" s="44"/>
      <c r="S68" s="44"/>
      <c r="T68" s="44"/>
      <c r="U68" s="44"/>
      <c r="V68" s="44"/>
      <c r="W68" s="44"/>
      <c r="X68" s="44"/>
      <c r="Y68" s="65"/>
      <c r="Z68" s="65"/>
      <c r="AA68" s="65"/>
      <c r="AB68" s="55"/>
      <c r="AC68" s="55"/>
      <c r="AD68" s="55"/>
      <c r="AE68" s="55"/>
      <c r="AF68" s="55"/>
      <c r="AG68" s="55"/>
      <c r="AH68" s="55"/>
      <c r="AI68" s="55"/>
      <c r="AJ68" s="55"/>
      <c r="AK68" s="55"/>
      <c r="AL68" s="55"/>
      <c r="AM68" s="55"/>
      <c r="AN68" s="55"/>
      <c r="AV68" s="65"/>
      <c r="BQ68" s="65"/>
    </row>
    <row r="69" spans="1:89" s="57" customFormat="1" ht="11.25" customHeight="1" x14ac:dyDescent="0.15">
      <c r="A69" s="54"/>
      <c r="B69" s="54"/>
      <c r="C69" s="54"/>
      <c r="D69" s="44"/>
      <c r="E69" s="44"/>
      <c r="F69" s="44"/>
      <c r="G69" s="44"/>
      <c r="H69" s="44"/>
      <c r="I69" s="44"/>
      <c r="J69" s="78"/>
      <c r="K69" s="44"/>
      <c r="L69" s="44"/>
      <c r="M69" s="44"/>
      <c r="N69" s="44"/>
      <c r="O69" s="53"/>
      <c r="P69" s="44"/>
      <c r="Q69" s="44"/>
      <c r="R69" s="44"/>
      <c r="S69" s="44"/>
      <c r="T69" s="44"/>
      <c r="U69" s="44"/>
      <c r="V69" s="44"/>
      <c r="W69" s="44"/>
      <c r="X69" s="44"/>
      <c r="Y69" s="53"/>
      <c r="Z69" s="53"/>
      <c r="AA69" s="53"/>
      <c r="AB69" s="54"/>
      <c r="AC69" s="55"/>
      <c r="AD69" s="55"/>
      <c r="AE69" s="55"/>
      <c r="AF69" s="79"/>
      <c r="AG69" s="55"/>
      <c r="AH69" s="55"/>
      <c r="AI69" s="55"/>
      <c r="AJ69" s="55"/>
      <c r="AK69" s="55"/>
      <c r="AL69" s="55"/>
      <c r="AM69" s="55"/>
      <c r="AN69" s="55"/>
      <c r="AO69" s="56"/>
      <c r="AP69" s="56"/>
      <c r="AQ69" s="56"/>
      <c r="AR69" s="56"/>
      <c r="AS69" s="56"/>
      <c r="AT69" s="56"/>
      <c r="AU69" s="56"/>
      <c r="AV69" s="53"/>
      <c r="AW69" s="56"/>
      <c r="AX69" s="56"/>
      <c r="AZ69" s="58"/>
      <c r="BA69" s="58"/>
      <c r="BB69" s="56"/>
      <c r="BC69" s="56"/>
      <c r="BD69" s="56"/>
      <c r="BE69" s="56"/>
      <c r="BF69" s="56"/>
      <c r="BG69" s="56"/>
      <c r="BH69" s="56"/>
      <c r="BI69" s="56"/>
      <c r="BJ69" s="56"/>
      <c r="BK69" s="56"/>
      <c r="BL69" s="56"/>
      <c r="BM69" s="56"/>
      <c r="BN69" s="56"/>
      <c r="BO69" s="56"/>
      <c r="BP69" s="56"/>
      <c r="BQ69" s="53"/>
      <c r="BR69" s="56"/>
      <c r="BS69" s="56"/>
      <c r="BU69" s="58"/>
      <c r="BV69" s="58"/>
      <c r="BW69" s="56"/>
      <c r="BX69" s="56"/>
      <c r="BY69" s="56"/>
      <c r="BZ69" s="56"/>
      <c r="CA69" s="56"/>
      <c r="CB69" s="56"/>
      <c r="CC69" s="56"/>
      <c r="CD69" s="56"/>
      <c r="CE69" s="56"/>
      <c r="CF69" s="56"/>
      <c r="CG69" s="56"/>
      <c r="CH69" s="56"/>
      <c r="CI69" s="56"/>
      <c r="CJ69" s="56"/>
      <c r="CK69" s="56"/>
    </row>
    <row r="70" spans="1:89" s="57" customFormat="1" ht="11.25" customHeight="1" x14ac:dyDescent="0.15">
      <c r="A70" s="86"/>
      <c r="B70" s="54"/>
      <c r="C70" s="54"/>
      <c r="D70" s="44"/>
      <c r="E70" s="44"/>
      <c r="F70" s="44"/>
      <c r="G70" s="44"/>
      <c r="H70" s="44"/>
      <c r="I70" s="44"/>
      <c r="J70" s="78"/>
      <c r="K70" s="44"/>
      <c r="L70" s="44"/>
      <c r="M70" s="44"/>
      <c r="N70" s="44"/>
      <c r="O70" s="53"/>
      <c r="P70" s="44"/>
      <c r="Q70" s="44"/>
      <c r="R70" s="44"/>
      <c r="S70" s="44"/>
      <c r="T70" s="44"/>
      <c r="U70" s="44"/>
      <c r="V70" s="44"/>
      <c r="W70" s="44"/>
      <c r="X70" s="44"/>
      <c r="Y70" s="53"/>
      <c r="Z70" s="53"/>
      <c r="AA70" s="53"/>
      <c r="AB70" s="54"/>
      <c r="AC70" s="55"/>
      <c r="AD70" s="55"/>
      <c r="AE70" s="55"/>
      <c r="AF70" s="79"/>
      <c r="AG70" s="55"/>
      <c r="AH70" s="55"/>
      <c r="AI70" s="55"/>
      <c r="AJ70" s="55"/>
      <c r="AK70" s="55"/>
      <c r="AL70" s="55"/>
      <c r="AM70" s="55"/>
      <c r="AN70" s="55"/>
      <c r="AO70" s="56"/>
      <c r="AP70" s="56"/>
      <c r="AQ70" s="56"/>
      <c r="AR70" s="56"/>
      <c r="AS70" s="56"/>
      <c r="AT70" s="56"/>
      <c r="AU70" s="56"/>
      <c r="AV70" s="53"/>
      <c r="AW70" s="56"/>
      <c r="AX70" s="56"/>
      <c r="AZ70" s="58"/>
      <c r="BA70" s="58"/>
      <c r="BB70" s="56"/>
      <c r="BC70" s="56"/>
      <c r="BD70" s="56"/>
      <c r="BE70" s="56"/>
      <c r="BF70" s="56"/>
      <c r="BG70" s="56"/>
      <c r="BH70" s="56"/>
      <c r="BI70" s="56"/>
      <c r="BJ70" s="56"/>
      <c r="BK70" s="56"/>
      <c r="BL70" s="56"/>
      <c r="BM70" s="56"/>
      <c r="BN70" s="56"/>
      <c r="BO70" s="56"/>
      <c r="BP70" s="56"/>
      <c r="BQ70" s="53"/>
      <c r="BR70" s="56"/>
      <c r="BS70" s="56"/>
      <c r="BU70" s="58"/>
      <c r="BV70" s="58"/>
      <c r="BW70" s="56"/>
      <c r="BX70" s="56"/>
      <c r="BY70" s="56"/>
      <c r="BZ70" s="56"/>
      <c r="CA70" s="56"/>
      <c r="CB70" s="56"/>
      <c r="CC70" s="56"/>
      <c r="CD70" s="56"/>
      <c r="CE70" s="56"/>
      <c r="CF70" s="56"/>
      <c r="CG70" s="56"/>
      <c r="CH70" s="56"/>
      <c r="CI70" s="56"/>
      <c r="CJ70" s="56"/>
      <c r="CK70" s="56"/>
    </row>
    <row r="71" spans="1:89" s="57" customFormat="1" ht="11.25" customHeight="1" x14ac:dyDescent="0.15">
      <c r="A71" s="282"/>
      <c r="B71" s="54"/>
      <c r="C71" s="54"/>
      <c r="D71" s="44"/>
      <c r="E71" s="44"/>
      <c r="F71" s="44"/>
      <c r="G71" s="44"/>
      <c r="H71" s="44"/>
      <c r="I71" s="44"/>
      <c r="J71" s="64" t="s">
        <v>40</v>
      </c>
      <c r="K71" s="44"/>
      <c r="L71" s="44"/>
      <c r="M71" s="44"/>
      <c r="N71" s="44"/>
      <c r="O71" s="65"/>
      <c r="P71" s="44"/>
      <c r="Q71" s="44"/>
      <c r="R71" s="44"/>
      <c r="S71" s="44"/>
      <c r="T71" s="44"/>
      <c r="U71" s="44"/>
      <c r="V71" s="44"/>
      <c r="W71" s="44"/>
      <c r="X71" s="44"/>
      <c r="Y71" s="65"/>
      <c r="Z71" s="65"/>
      <c r="AA71" s="65"/>
      <c r="AB71" s="55"/>
      <c r="AC71" s="55"/>
      <c r="AD71" s="73"/>
      <c r="AE71" s="55"/>
      <c r="AF71" s="55"/>
      <c r="AG71" s="55"/>
      <c r="AH71" s="55"/>
      <c r="AI71" s="55"/>
      <c r="AJ71" s="55"/>
      <c r="AK71" s="55"/>
      <c r="AL71" s="55"/>
      <c r="AM71" s="55"/>
      <c r="AN71" s="55"/>
      <c r="AV71" s="65"/>
      <c r="BQ71" s="65"/>
    </row>
    <row r="72" spans="1:89" x14ac:dyDescent="0.2">
      <c r="A72" s="283"/>
      <c r="B72" s="56"/>
      <c r="C72" s="56"/>
      <c r="J72" s="80" t="s">
        <v>40</v>
      </c>
      <c r="O72" s="81"/>
      <c r="Y72" s="81"/>
      <c r="Z72" s="81"/>
      <c r="AA72" s="81"/>
      <c r="AV72" s="81"/>
      <c r="BQ72" s="81"/>
    </row>
    <row r="73" spans="1:89" x14ac:dyDescent="0.2">
      <c r="A73" s="54"/>
      <c r="B73" s="54"/>
      <c r="C73" s="280"/>
      <c r="J73" s="80" t="s">
        <v>40</v>
      </c>
      <c r="O73" s="81"/>
      <c r="Y73" s="81"/>
      <c r="Z73" s="81"/>
      <c r="AA73" s="81"/>
      <c r="AB73" s="83"/>
      <c r="AC73" s="83"/>
      <c r="AD73" s="83"/>
      <c r="AE73" s="83"/>
      <c r="AF73" s="83"/>
      <c r="AG73" s="83"/>
      <c r="AH73" s="83"/>
      <c r="AI73" s="83"/>
      <c r="AJ73" s="83"/>
      <c r="AK73" s="83"/>
      <c r="AL73" s="83"/>
      <c r="AM73" s="83"/>
      <c r="AN73" s="83"/>
      <c r="AV73" s="81"/>
      <c r="BQ73" s="81"/>
    </row>
    <row r="74" spans="1:89" x14ac:dyDescent="0.2">
      <c r="A74" s="54"/>
      <c r="B74" s="56"/>
      <c r="C74" s="54"/>
      <c r="J74" s="80" t="s">
        <v>40</v>
      </c>
      <c r="O74" s="81"/>
      <c r="Y74" s="81"/>
      <c r="Z74" s="81"/>
      <c r="AA74" s="81"/>
      <c r="AB74" s="83"/>
      <c r="AC74" s="83"/>
      <c r="AD74" s="83"/>
      <c r="AV74" s="81"/>
      <c r="BQ74" s="81"/>
    </row>
    <row r="75" spans="1:89" x14ac:dyDescent="0.2">
      <c r="A75" s="54"/>
      <c r="B75" s="56"/>
      <c r="C75" s="54"/>
      <c r="J75" s="80"/>
      <c r="O75" s="81"/>
      <c r="Y75" s="81"/>
      <c r="Z75" s="81"/>
      <c r="AA75" s="81"/>
      <c r="AB75" s="83"/>
      <c r="AC75" s="83"/>
      <c r="AD75" s="83"/>
      <c r="AV75" s="81"/>
      <c r="BQ75" s="81"/>
    </row>
    <row r="76" spans="1:89" x14ac:dyDescent="0.2">
      <c r="A76" s="43"/>
      <c r="B76" s="44"/>
      <c r="C76" s="44"/>
      <c r="J76" s="64" t="s">
        <v>40</v>
      </c>
      <c r="O76" s="84"/>
      <c r="Y76" s="84"/>
      <c r="Z76" s="84"/>
      <c r="AA76" s="84"/>
      <c r="AV76" s="84"/>
      <c r="BQ76" s="84"/>
    </row>
    <row r="77" spans="1:89" s="57" customFormat="1" ht="11.25" customHeight="1" x14ac:dyDescent="0.15">
      <c r="A77" s="282"/>
      <c r="B77" s="54"/>
      <c r="C77" s="54"/>
      <c r="D77" s="44"/>
      <c r="E77" s="44"/>
      <c r="F77" s="44"/>
      <c r="G77" s="44"/>
      <c r="H77" s="44"/>
      <c r="I77" s="44"/>
      <c r="J77" s="64" t="s">
        <v>40</v>
      </c>
      <c r="K77" s="44"/>
      <c r="L77" s="44"/>
      <c r="M77" s="44"/>
      <c r="N77" s="44"/>
      <c r="O77" s="72"/>
      <c r="P77" s="44"/>
      <c r="Q77" s="44"/>
      <c r="R77" s="44"/>
      <c r="S77" s="44"/>
      <c r="T77" s="44"/>
      <c r="U77" s="44"/>
      <c r="V77" s="44"/>
      <c r="W77" s="44"/>
      <c r="X77" s="44"/>
      <c r="Y77" s="72"/>
      <c r="Z77" s="72"/>
      <c r="AA77" s="72"/>
      <c r="AB77" s="55"/>
      <c r="AC77" s="55"/>
      <c r="AD77" s="55"/>
      <c r="AE77" s="55"/>
      <c r="AF77" s="55"/>
      <c r="AG77" s="55"/>
      <c r="AH77" s="55"/>
      <c r="AI77" s="55"/>
      <c r="AJ77" s="55"/>
      <c r="AK77" s="55"/>
      <c r="AL77" s="55"/>
      <c r="AM77" s="55"/>
      <c r="AN77" s="55"/>
      <c r="AV77" s="72"/>
      <c r="BQ77" s="72"/>
    </row>
    <row r="78" spans="1:89" x14ac:dyDescent="0.2">
      <c r="B78" s="44"/>
      <c r="C78" s="44"/>
      <c r="J78" s="78" t="s">
        <v>40</v>
      </c>
      <c r="O78" s="81"/>
      <c r="Y78" s="81"/>
      <c r="Z78" s="81"/>
      <c r="AA78" s="81"/>
      <c r="AV78" s="81"/>
      <c r="BQ78" s="81"/>
    </row>
    <row r="79" spans="1:89" x14ac:dyDescent="0.2">
      <c r="J79" s="64" t="s">
        <v>40</v>
      </c>
      <c r="O79" s="81"/>
      <c r="Y79" s="81"/>
      <c r="Z79" s="81"/>
      <c r="AA79" s="81"/>
      <c r="AV79" s="81"/>
      <c r="BQ79" s="81"/>
    </row>
    <row r="80" spans="1:89" x14ac:dyDescent="0.2">
      <c r="J80" s="64" t="s">
        <v>40</v>
      </c>
      <c r="O80" s="85"/>
      <c r="Y80" s="85"/>
      <c r="Z80" s="85"/>
      <c r="AA80" s="85"/>
      <c r="AV80" s="85"/>
      <c r="BQ80" s="85"/>
    </row>
    <row r="81" spans="1:69" x14ac:dyDescent="0.2">
      <c r="J81" s="64" t="s">
        <v>40</v>
      </c>
      <c r="L81" s="43"/>
      <c r="M81" s="43" t="s">
        <v>53</v>
      </c>
      <c r="O81" s="81"/>
      <c r="Y81" s="81"/>
      <c r="Z81" s="81"/>
      <c r="AA81" s="81"/>
      <c r="AV81" s="81"/>
      <c r="BQ81" s="81"/>
    </row>
    <row r="82" spans="1:69" x14ac:dyDescent="0.2">
      <c r="J82" s="64" t="s">
        <v>40</v>
      </c>
    </row>
    <row r="83" spans="1:69" x14ac:dyDescent="0.2">
      <c r="J83" s="64" t="s">
        <v>40</v>
      </c>
    </row>
    <row r="84" spans="1:69" x14ac:dyDescent="0.2">
      <c r="C84" s="43" t="s">
        <v>240</v>
      </c>
      <c r="J84" s="78" t="s">
        <v>40</v>
      </c>
      <c r="M84" s="43" t="s">
        <v>241</v>
      </c>
    </row>
    <row r="85" spans="1:69" x14ac:dyDescent="0.2">
      <c r="J85" s="64" t="s">
        <v>40</v>
      </c>
    </row>
    <row r="86" spans="1:69" x14ac:dyDescent="0.2">
      <c r="J86" s="64" t="s">
        <v>40</v>
      </c>
    </row>
    <row r="87" spans="1:69" x14ac:dyDescent="0.2">
      <c r="J87" s="64" t="s">
        <v>40</v>
      </c>
    </row>
    <row r="88" spans="1:69" x14ac:dyDescent="0.2">
      <c r="A88" s="43"/>
      <c r="J88" s="64" t="s">
        <v>40</v>
      </c>
    </row>
    <row r="89" spans="1:69" x14ac:dyDescent="0.2">
      <c r="J89" s="64" t="s">
        <v>40</v>
      </c>
    </row>
    <row r="90" spans="1:69" x14ac:dyDescent="0.2">
      <c r="J90" s="64" t="s">
        <v>40</v>
      </c>
    </row>
    <row r="91" spans="1:69" x14ac:dyDescent="0.2">
      <c r="J91" s="64" t="s">
        <v>40</v>
      </c>
    </row>
    <row r="92" spans="1:69" x14ac:dyDescent="0.2">
      <c r="J92" s="64" t="s">
        <v>40</v>
      </c>
    </row>
    <row r="93" spans="1:69" x14ac:dyDescent="0.2">
      <c r="J93" s="64" t="s">
        <v>40</v>
      </c>
    </row>
    <row r="94" spans="1:69" x14ac:dyDescent="0.2">
      <c r="J94" s="80" t="s">
        <v>40</v>
      </c>
      <c r="O94" s="43"/>
      <c r="Y94" s="86"/>
      <c r="Z94" s="43"/>
      <c r="AA94" s="86"/>
      <c r="AV94" s="86"/>
      <c r="BQ94" s="86"/>
    </row>
    <row r="95" spans="1:69" x14ac:dyDescent="0.2">
      <c r="J95" s="80" t="s">
        <v>40</v>
      </c>
    </row>
    <row r="96" spans="1:69" x14ac:dyDescent="0.2">
      <c r="J96" s="80"/>
    </row>
    <row r="97" spans="3:69" x14ac:dyDescent="0.2">
      <c r="J97" s="80"/>
    </row>
    <row r="104" spans="3:69" ht="14.25" x14ac:dyDescent="0.2">
      <c r="J104" s="39"/>
      <c r="O104" s="87"/>
      <c r="Y104" s="89"/>
      <c r="Z104" s="41"/>
      <c r="AA104" s="89"/>
      <c r="AB104" s="41"/>
      <c r="AC104" s="41"/>
      <c r="AD104" s="41"/>
      <c r="AV104" s="89"/>
      <c r="BQ104" s="89"/>
    </row>
    <row r="112" spans="3:69" x14ac:dyDescent="0.2">
      <c r="C112" s="43" t="s">
        <v>173</v>
      </c>
    </row>
    <row r="170" spans="12:16" x14ac:dyDescent="0.2">
      <c r="L170" s="44" t="s">
        <v>11</v>
      </c>
      <c r="M170" s="44" t="s">
        <v>12</v>
      </c>
      <c r="N170" s="44">
        <v>2021</v>
      </c>
      <c r="P170" s="44">
        <v>2023</v>
      </c>
    </row>
    <row r="175" spans="12:16" x14ac:dyDescent="0.2">
      <c r="L175" s="43" t="s">
        <v>54</v>
      </c>
    </row>
    <row r="178" spans="12:12" x14ac:dyDescent="0.2">
      <c r="L178" s="43" t="s">
        <v>174</v>
      </c>
    </row>
    <row r="260" spans="2:16" x14ac:dyDescent="0.2">
      <c r="B260" s="44" t="s">
        <v>9</v>
      </c>
      <c r="C260" s="44" t="s">
        <v>8</v>
      </c>
      <c r="D260" s="44" t="s">
        <v>11</v>
      </c>
      <c r="E260" s="44" t="s">
        <v>12</v>
      </c>
      <c r="F260" s="44" t="s">
        <v>188</v>
      </c>
      <c r="G260" s="44" t="s">
        <v>189</v>
      </c>
      <c r="H260" s="44" t="s">
        <v>190</v>
      </c>
      <c r="I260" s="44" t="s">
        <v>187</v>
      </c>
      <c r="J260" s="44" t="s">
        <v>234</v>
      </c>
      <c r="K260" s="44" t="s">
        <v>235</v>
      </c>
      <c r="L260" s="44" t="s">
        <v>236</v>
      </c>
      <c r="M260" s="44" t="s">
        <v>237</v>
      </c>
      <c r="N260" s="44">
        <v>2023</v>
      </c>
      <c r="O260" s="44">
        <v>2024</v>
      </c>
      <c r="P260" s="44">
        <v>2025</v>
      </c>
    </row>
  </sheetData>
  <mergeCells count="13">
    <mergeCell ref="V2:X2"/>
    <mergeCell ref="D4:E4"/>
    <mergeCell ref="D29:E29"/>
    <mergeCell ref="D5:E5"/>
    <mergeCell ref="B29:C29"/>
    <mergeCell ref="P1:S1"/>
    <mergeCell ref="B2:C2"/>
    <mergeCell ref="D2:E2"/>
    <mergeCell ref="A1:A2"/>
    <mergeCell ref="B1:C1"/>
    <mergeCell ref="D1:E1"/>
    <mergeCell ref="F1:I1"/>
    <mergeCell ref="K1:N1"/>
  </mergeCells>
  <conditionalFormatting sqref="AB49:AD49 AG49:AI49 AL49:AN49 AQ49:AS49 BB49:BD49 BG49:BI49 BL49:BN49 BR49:BT49 BW49:BY49 CB49:CD49 CG49:CI49 U49:X49">
    <cfRule type="cellIs" dxfId="59" priority="11" operator="lessThan">
      <formula>0</formula>
    </cfRule>
    <cfRule type="cellIs" dxfId="58" priority="12" operator="greaterThan">
      <formula>0</formula>
    </cfRule>
  </conditionalFormatting>
  <conditionalFormatting sqref="AB49:AD49 AG49:AI49 AL49:AN49 AQ49:AS49 BB49:BD49 BG49:BI49 BL49:BN49 BR49:BT49 BW49:BY49 CB49:CD49 CG49:CI49 AW49:AY49">
    <cfRule type="cellIs" dxfId="57" priority="9" operator="lessThan">
      <formula>0</formula>
    </cfRule>
    <cfRule type="cellIs" dxfId="56" priority="10" operator="greaterThan">
      <formula>0</formula>
    </cfRule>
  </conditionalFormatting>
  <conditionalFormatting sqref="F49:I49 K49:N49 P49:S49">
    <cfRule type="cellIs" dxfId="55" priority="5" operator="lessThan">
      <formula>0</formula>
    </cfRule>
    <cfRule type="cellIs" dxfId="54" priority="6" operator="greaterThan">
      <formula>0</formula>
    </cfRule>
  </conditionalFormatting>
  <conditionalFormatting sqref="F49:I49 K49:N49 P49:S49">
    <cfRule type="cellIs" dxfId="53" priority="3" operator="lessThan">
      <formula>0</formula>
    </cfRule>
    <cfRule type="cellIs" dxfId="52" priority="4" operator="greaterThan">
      <formula>0</formula>
    </cfRule>
  </conditionalFormatting>
  <pageMargins left="0.78740157499999996" right="0.78740157499999996" top="0.984251969" bottom="0.984251969" header="0.4921259845" footer="0.4921259845"/>
  <pageSetup paperSize="9" scale="61"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S150"/>
  <sheetViews>
    <sheetView tabSelected="1" zoomScale="120" zoomScaleNormal="120" workbookViewId="0">
      <selection activeCell="A35" sqref="A35"/>
    </sheetView>
  </sheetViews>
  <sheetFormatPr baseColWidth="10" defaultRowHeight="14.25" x14ac:dyDescent="0.2"/>
  <cols>
    <col min="1" max="1" width="53.140625" style="38" customWidth="1"/>
    <col min="2" max="7" width="27.28515625" style="38" customWidth="1"/>
    <col min="8" max="72" width="11.42578125" style="1"/>
    <col min="73" max="175" width="11.42578125" style="41"/>
    <col min="176" max="16384" width="11.42578125" style="1"/>
  </cols>
  <sheetData>
    <row r="1" spans="1:72" s="1" customFormat="1" ht="21.75" customHeight="1" x14ac:dyDescent="0.2">
      <c r="A1" s="681" t="s">
        <v>201</v>
      </c>
      <c r="B1" s="683">
        <v>2020</v>
      </c>
      <c r="C1" s="685">
        <v>2021</v>
      </c>
      <c r="D1" s="687">
        <v>2022</v>
      </c>
      <c r="E1" s="689">
        <v>2023</v>
      </c>
      <c r="F1" s="689">
        <v>2024</v>
      </c>
      <c r="G1" s="677">
        <v>2025</v>
      </c>
    </row>
    <row r="2" spans="1:72" s="1" customFormat="1" ht="14.25" customHeight="1" thickBot="1" x14ac:dyDescent="0.25">
      <c r="A2" s="682"/>
      <c r="B2" s="684"/>
      <c r="C2" s="686"/>
      <c r="D2" s="688"/>
      <c r="E2" s="690"/>
      <c r="F2" s="690"/>
      <c r="G2" s="678"/>
    </row>
    <row r="3" spans="1:72" s="3" customFormat="1" ht="21.75" customHeight="1" x14ac:dyDescent="0.2">
      <c r="A3" s="463" t="s">
        <v>202</v>
      </c>
      <c r="B3" s="464">
        <f>Cautious!J8</f>
        <v>41757.513711242835</v>
      </c>
      <c r="C3" s="465">
        <f>Cautious!O8</f>
        <v>85197.172055706644</v>
      </c>
      <c r="D3" s="465">
        <f>Cautious!T8</f>
        <v>270862.6368112865</v>
      </c>
      <c r="E3" s="465">
        <f>Cautious!V8</f>
        <v>367996.30025557772</v>
      </c>
      <c r="F3" s="465">
        <f>Cautious!W8</f>
        <v>1881806.6861054176</v>
      </c>
      <c r="G3" s="466">
        <f>Cautious!X8</f>
        <v>2775417.787768031</v>
      </c>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row>
    <row r="4" spans="1:72" s="3" customFormat="1" ht="21.75" customHeight="1" x14ac:dyDescent="0.2">
      <c r="A4" s="444" t="s">
        <v>214</v>
      </c>
      <c r="B4" s="459">
        <f>Cautious!J14</f>
        <v>2.9747159581258105</v>
      </c>
      <c r="C4" s="460">
        <f>Cautious!O14</f>
        <v>2.6689630894680438</v>
      </c>
      <c r="D4" s="460">
        <f>Cautious!T14</f>
        <v>1.4459883508700186</v>
      </c>
      <c r="E4" s="460">
        <f>Cautious!V14</f>
        <v>0.5029529554531007</v>
      </c>
      <c r="F4" s="460">
        <f>Cautious!W14</f>
        <v>0.35836314252605894</v>
      </c>
      <c r="G4" s="461">
        <f>Cautious!X14</f>
        <v>0.21283000355857704</v>
      </c>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row>
    <row r="5" spans="1:72" s="3" customFormat="1" ht="21.75" customHeight="1" x14ac:dyDescent="0.2">
      <c r="A5" s="445" t="s">
        <v>192</v>
      </c>
      <c r="B5" s="459">
        <f>Cautious!J15</f>
        <v>55.167806032543233</v>
      </c>
      <c r="C5" s="460">
        <f>Cautious!O15</f>
        <v>3.6591750660109783</v>
      </c>
      <c r="D5" s="460">
        <f>Cautious!T15</f>
        <v>1.1245383470160082</v>
      </c>
      <c r="E5" s="460">
        <f>Cautious!V15</f>
        <v>0.2</v>
      </c>
      <c r="F5" s="460">
        <f>Cautious!W15</f>
        <v>0.2</v>
      </c>
      <c r="G5" s="461">
        <f>Cautious!X15</f>
        <v>0.2</v>
      </c>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row>
    <row r="6" spans="1:72" s="5" customFormat="1" ht="21.75" customHeight="1" x14ac:dyDescent="0.2">
      <c r="A6" s="446" t="s">
        <v>181</v>
      </c>
      <c r="B6" s="462" t="s">
        <v>182</v>
      </c>
      <c r="C6" s="460">
        <f>Cautious!O16</f>
        <v>2.1052236520986116</v>
      </c>
      <c r="D6" s="460">
        <f>Cautious!T16</f>
        <v>2.9840644272404355</v>
      </c>
      <c r="E6" s="460">
        <f>Cautious!V16</f>
        <v>1.1886370262888168</v>
      </c>
      <c r="F6" s="460">
        <f>Cautious!W16</f>
        <v>2.2277259849941244</v>
      </c>
      <c r="G6" s="461">
        <f>Cautious!X16</f>
        <v>0.95839927033166328</v>
      </c>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row>
    <row r="7" spans="1:72" s="5" customFormat="1" ht="21.75" customHeight="1" x14ac:dyDescent="0.2">
      <c r="A7" s="446" t="s">
        <v>183</v>
      </c>
      <c r="B7" s="447">
        <f>Cautious!J17</f>
        <v>32085.002128095577</v>
      </c>
      <c r="C7" s="448">
        <f>Cautious!O17</f>
        <v>70703.940835849004</v>
      </c>
      <c r="D7" s="448">
        <f>Cautious!T17</f>
        <v>311204.92485321377</v>
      </c>
      <c r="E7" s="448">
        <f>Cautious!V17</f>
        <v>493871.39548342582</v>
      </c>
      <c r="F7" s="448">
        <f>Cautious!W17</f>
        <v>2025816.6269057351</v>
      </c>
      <c r="G7" s="449">
        <f>Cautious!X17</f>
        <v>2813076.1818644488</v>
      </c>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row>
    <row r="8" spans="1:72" s="1" customFormat="1" ht="21.75" customHeight="1" x14ac:dyDescent="0.2">
      <c r="A8" s="450" t="s">
        <v>184</v>
      </c>
      <c r="B8" s="454">
        <f>Cautious!J18</f>
        <v>33585.002128095577</v>
      </c>
      <c r="C8" s="455">
        <f>Cautious!O18</f>
        <v>104288.94296394459</v>
      </c>
      <c r="D8" s="455">
        <f>Cautious!T18</f>
        <v>415493.86781715835</v>
      </c>
      <c r="E8" s="455">
        <f>Cautious!V18</f>
        <v>909365.26330058416</v>
      </c>
      <c r="F8" s="455">
        <f>Cautious!W18</f>
        <v>2935181.8902063193</v>
      </c>
      <c r="G8" s="456">
        <f>Cautious!X18</f>
        <v>5748258.0720707681</v>
      </c>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row>
    <row r="9" spans="1:72" s="6" customFormat="1" ht="15.75" thickBot="1" x14ac:dyDescent="0.25">
      <c r="A9" s="7"/>
      <c r="B9" s="8"/>
      <c r="C9" s="9"/>
      <c r="D9" s="9"/>
      <c r="E9" s="10"/>
      <c r="F9" s="10"/>
      <c r="G9" s="11"/>
    </row>
    <row r="10" spans="1:72" s="1" customFormat="1" ht="21.75" customHeight="1" x14ac:dyDescent="0.2">
      <c r="A10" s="439" t="s">
        <v>203</v>
      </c>
      <c r="B10" s="440">
        <f>SUM((Cautious!J21+Cautious!J23+Cautious!J27)/Cautious!J18)</f>
        <v>1.3319434740076099</v>
      </c>
      <c r="C10" s="441">
        <f>SUM((Cautious!O21+Cautious!O23+Cautious!O27)/Cautious!O18)</f>
        <v>5.2034397027119095</v>
      </c>
      <c r="D10" s="441">
        <f>SUM((Cautious!T21+Cautious!T23+Cautious!T27)/Cautious!T18)</f>
        <v>8.166053485458054</v>
      </c>
      <c r="E10" s="441">
        <f>SUM((Cautious!V21+Cautious!V23+Cautious!V27))</f>
        <v>19.32</v>
      </c>
      <c r="F10" s="441">
        <f>SUM((Cautious!W21+Cautious!W23+Cautious!W27))</f>
        <v>22.44</v>
      </c>
      <c r="G10" s="442">
        <f>SUM((Cautious!X21+Cautious!X23+Cautious!X27))</f>
        <v>25.560000000000002</v>
      </c>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row>
    <row r="11" spans="1:72" s="1" customFormat="1" ht="21.75" customHeight="1" x14ac:dyDescent="0.2">
      <c r="A11" s="443" t="s">
        <v>204</v>
      </c>
      <c r="B11" s="440">
        <f>SUM((Cautious!J24+Cautious!J25)/Cautious!J18)</f>
        <v>0</v>
      </c>
      <c r="C11" s="441">
        <f>SUM((Cautious!O24+Cautious!O25)/Cautious!O18)</f>
        <v>1.1380340824099857</v>
      </c>
      <c r="D11" s="441">
        <f>SUM((Cautious!T24+Cautious!T25)/Cautious!T18)</f>
        <v>2.9338394278406117</v>
      </c>
      <c r="E11" s="441">
        <f>SUM((Cautious!V24+Cautious!V25))</f>
        <v>7.8000000000000007</v>
      </c>
      <c r="F11" s="441">
        <f>SUM((Cautious!W24+Cautious!W25))</f>
        <v>9.48</v>
      </c>
      <c r="G11" s="442">
        <f>SUM((Cautious!X24+Cautious!X25))</f>
        <v>11.16</v>
      </c>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row>
    <row r="12" spans="1:72" s="1" customFormat="1" ht="21.75" customHeight="1" x14ac:dyDescent="0.2">
      <c r="A12" s="443" t="s">
        <v>205</v>
      </c>
      <c r="B12" s="440">
        <f>SUM((Cautious!J22+Cautious!J26+Cautious!J28)/Cautious!J18)</f>
        <v>0.64841192958941352</v>
      </c>
      <c r="C12" s="441">
        <f>SUM((Cautious!O22+Cautious!O26+Cautious!O28)/Cautious!O18)</f>
        <v>3.6564216728279848</v>
      </c>
      <c r="D12" s="441">
        <f>SUM((Cautious!T22+Cautious!T26+Cautious!T28)/Cautious!T18)</f>
        <v>5.424808026346648</v>
      </c>
      <c r="E12" s="441">
        <f>SUM((Cautious!V22+Cautious!V26+Cautious!V28))</f>
        <v>12.599999999999998</v>
      </c>
      <c r="F12" s="441">
        <f>SUM((Cautious!W22+Cautious!W26+Cautious!W28))</f>
        <v>14.520000000000001</v>
      </c>
      <c r="G12" s="442">
        <f>SUM((Cautious!X22+Cautious!X26+Cautious!X28))</f>
        <v>16.440000000000001</v>
      </c>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row>
    <row r="13" spans="1:72" s="1" customFormat="1" ht="21.75" customHeight="1" x14ac:dyDescent="0.2">
      <c r="A13" s="450" t="s">
        <v>206</v>
      </c>
      <c r="B13" s="451">
        <f>Cautious!J30</f>
        <v>66510.240444191615</v>
      </c>
      <c r="C13" s="452">
        <f>Cautious!O30</f>
        <v>1042669.9491736157</v>
      </c>
      <c r="D13" s="452">
        <f>Cautious!T30</f>
        <v>6865911.9079350615</v>
      </c>
      <c r="E13" s="452">
        <f>Cautious!V30</f>
        <v>26311702.343998369</v>
      </c>
      <c r="F13" s="452">
        <f>Cautious!W30</f>
        <v>89270384.9044303</v>
      </c>
      <c r="G13" s="453">
        <f>Cautious!X30</f>
        <v>230805834.19732502</v>
      </c>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row>
    <row r="14" spans="1:72" s="6" customFormat="1" ht="15" x14ac:dyDescent="0.2">
      <c r="A14" s="12"/>
      <c r="B14" s="8"/>
      <c r="C14" s="9"/>
      <c r="D14" s="9"/>
      <c r="E14" s="9"/>
      <c r="F14" s="9"/>
      <c r="G14" s="13"/>
    </row>
    <row r="15" spans="1:72" s="1" customFormat="1" ht="21.75" customHeight="1" x14ac:dyDescent="0.2">
      <c r="A15" s="434" t="s">
        <v>178</v>
      </c>
      <c r="B15" s="435">
        <f>SUM(Cautious!J45+Cautious!J46)</f>
        <v>92012.3695955328</v>
      </c>
      <c r="C15" s="436">
        <f>SUM(Cautious!O45+Cautious!O46)</f>
        <v>203266.90113436317</v>
      </c>
      <c r="D15" s="436">
        <f>SUM(Cautious!T45+Cautious!T46)</f>
        <v>1282764.0243123905</v>
      </c>
      <c r="E15" s="436">
        <f>SUM(Cautious!V45+Cautious!V46)</f>
        <v>917484.33422357414</v>
      </c>
      <c r="F15" s="436">
        <f>SUM(Cautious!W45+Cautious!W46)</f>
        <v>7893510.7031995105</v>
      </c>
      <c r="G15" s="437">
        <f>SUM(Cautious!X45+Cautious!X46)</f>
        <v>10000000</v>
      </c>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row>
    <row r="16" spans="1:72" s="1" customFormat="1" ht="21.75" customHeight="1" x14ac:dyDescent="0.2">
      <c r="A16" s="434" t="s">
        <v>179</v>
      </c>
      <c r="B16" s="435">
        <f>SUM(Cautious!J34,Cautious!J43)</f>
        <v>371398.22843801195</v>
      </c>
      <c r="C16" s="436">
        <f>SUM(Cautious!O34,Cautious!O43)</f>
        <v>618706.89832402009</v>
      </c>
      <c r="D16" s="436">
        <f>SUM(Cautious!T34,Cautious!T43)</f>
        <v>1745356.8515682747</v>
      </c>
      <c r="E16" s="436">
        <f>SUM(Cautious!V34,Cautious!V43)</f>
        <v>7832344.6625444693</v>
      </c>
      <c r="F16" s="436">
        <f>SUM(Cautious!W34,Cautious!W43)</f>
        <v>11849511.983243832</v>
      </c>
      <c r="G16" s="437">
        <f>SUM(Cautious!X34,Cautious!X43)</f>
        <v>21081745.351136833</v>
      </c>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row>
    <row r="17" spans="1:72" s="1" customFormat="1" ht="21.75" customHeight="1" x14ac:dyDescent="0.2">
      <c r="A17" s="438" t="s">
        <v>175</v>
      </c>
      <c r="B17" s="435">
        <f>SUM(Cautious!J33,Cautious!J35:J42)</f>
        <v>160123.84066527069</v>
      </c>
      <c r="C17" s="436">
        <f>SUM(Cautious!O33,Cautious!O35:O42)</f>
        <v>464315.45440522756</v>
      </c>
      <c r="D17" s="436">
        <f>SUM(Cautious!T33,Cautious!T35:T42)</f>
        <v>1894931.2048258465</v>
      </c>
      <c r="E17" s="436">
        <f>SUM(Cautious!V33,Cautious!V35:V42)</f>
        <v>8992552.7448487338</v>
      </c>
      <c r="F17" s="436">
        <f>SUM(Cautious!W33,Cautious!W35:W42)</f>
        <v>27795476.778693896</v>
      </c>
      <c r="G17" s="437">
        <f>SUM(Cautious!X33,Cautious!X35:X42)</f>
        <v>72734283.500941232</v>
      </c>
    </row>
    <row r="18" spans="1:72" s="1" customFormat="1" ht="21.75" customHeight="1" x14ac:dyDescent="0.2">
      <c r="A18" s="457" t="s">
        <v>177</v>
      </c>
      <c r="B18" s="451">
        <f>Cautious!J47</f>
        <v>623597.43869881541</v>
      </c>
      <c r="C18" s="452">
        <f>Cautious!O47</f>
        <v>1286349.2538636108</v>
      </c>
      <c r="D18" s="452">
        <f>Cautious!T47</f>
        <v>4923112.0807065126</v>
      </c>
      <c r="E18" s="452">
        <f>Cautious!V47</f>
        <v>17742386.741616778</v>
      </c>
      <c r="F18" s="452">
        <f>Cautious!W47</f>
        <v>47538504.465137251</v>
      </c>
      <c r="G18" s="453">
        <f>Cautious!X47</f>
        <v>103816033.85207807</v>
      </c>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row>
    <row r="19" spans="1:72" s="6" customFormat="1" ht="15.75" thickBot="1" x14ac:dyDescent="0.25">
      <c r="A19" s="14"/>
      <c r="B19" s="15"/>
      <c r="C19" s="16"/>
      <c r="D19" s="16"/>
      <c r="E19" s="16"/>
      <c r="F19" s="16"/>
      <c r="G19" s="17"/>
    </row>
    <row r="20" spans="1:72" s="1" customFormat="1" ht="21.75" customHeight="1" thickBot="1" x14ac:dyDescent="0.25">
      <c r="A20" s="458" t="s">
        <v>180</v>
      </c>
      <c r="B20" s="18">
        <f>Cautious!J49</f>
        <v>-557087.1982546238</v>
      </c>
      <c r="C20" s="19">
        <f>Cautious!O49</f>
        <v>-243679.30468999513</v>
      </c>
      <c r="D20" s="19">
        <f>Cautious!T49</f>
        <v>1942799.8272285499</v>
      </c>
      <c r="E20" s="19">
        <f>Cautious!V49</f>
        <v>8569315.6023815908</v>
      </c>
      <c r="F20" s="19">
        <f>Cautious!W49</f>
        <v>41731880.439293049</v>
      </c>
      <c r="G20" s="20">
        <f>Cautious!X49</f>
        <v>126989800.34524696</v>
      </c>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row>
    <row r="21" spans="1:72" s="1" customFormat="1" ht="6.75" customHeight="1" x14ac:dyDescent="0.2">
      <c r="A21" s="21"/>
      <c r="B21" s="22"/>
      <c r="C21" s="22"/>
      <c r="D21" s="22"/>
      <c r="E21" s="22"/>
      <c r="F21" s="22"/>
      <c r="G21" s="22"/>
    </row>
    <row r="22" spans="1:72" s="1" customFormat="1" ht="18" customHeight="1" x14ac:dyDescent="0.2">
      <c r="A22" s="23" t="s">
        <v>191</v>
      </c>
      <c r="B22" s="679" t="s">
        <v>251</v>
      </c>
      <c r="C22" s="679"/>
      <c r="D22" s="679"/>
      <c r="E22" s="679"/>
      <c r="F22" s="679"/>
      <c r="G22" s="679"/>
    </row>
    <row r="23" spans="1:72" s="1" customFormat="1" ht="18" customHeight="1" x14ac:dyDescent="0.2">
      <c r="A23" s="23"/>
      <c r="B23" s="680" t="s">
        <v>250</v>
      </c>
      <c r="C23" s="680"/>
      <c r="D23" s="680"/>
      <c r="E23" s="680"/>
      <c r="F23" s="680"/>
      <c r="G23" s="680"/>
    </row>
    <row r="24" spans="1:72" s="1" customFormat="1" ht="18" customHeight="1" x14ac:dyDescent="0.2">
      <c r="A24" s="24"/>
      <c r="B24" s="680" t="s">
        <v>249</v>
      </c>
      <c r="C24" s="680"/>
      <c r="D24" s="680"/>
      <c r="E24" s="680"/>
      <c r="F24" s="680"/>
      <c r="G24" s="680"/>
    </row>
    <row r="25" spans="1:72" s="1" customFormat="1" ht="21" customHeight="1" x14ac:dyDescent="0.2">
      <c r="A25" s="25"/>
      <c r="B25" s="676" t="s">
        <v>213</v>
      </c>
      <c r="C25" s="676"/>
      <c r="D25" s="676"/>
      <c r="E25" s="676"/>
      <c r="F25" s="676"/>
      <c r="G25" s="676"/>
    </row>
    <row r="26" spans="1:72" s="1" customFormat="1" ht="21" customHeight="1" x14ac:dyDescent="0.2">
      <c r="A26" s="27"/>
      <c r="B26" s="26"/>
      <c r="C26" s="26"/>
      <c r="D26" s="26"/>
      <c r="E26" s="26"/>
      <c r="F26" s="26"/>
      <c r="G26" s="26"/>
    </row>
    <row r="27" spans="1:72" s="1" customFormat="1" ht="21" customHeight="1" x14ac:dyDescent="0.2">
      <c r="A27" s="21"/>
      <c r="B27" s="28" t="s">
        <v>40</v>
      </c>
      <c r="C27" s="29"/>
      <c r="D27" s="29"/>
      <c r="E27" s="29"/>
      <c r="F27" s="29"/>
      <c r="G27" s="29"/>
    </row>
    <row r="28" spans="1:72" s="1" customFormat="1" ht="21" customHeight="1" x14ac:dyDescent="0.2">
      <c r="A28" s="21"/>
      <c r="B28" s="28" t="s">
        <v>40</v>
      </c>
      <c r="C28" s="29"/>
      <c r="D28" s="29"/>
      <c r="E28" s="29"/>
      <c r="F28" s="29"/>
      <c r="G28" s="29"/>
    </row>
    <row r="29" spans="1:72" s="1" customFormat="1" ht="21" customHeight="1" x14ac:dyDescent="0.2">
      <c r="A29" s="21"/>
      <c r="B29" s="28" t="s">
        <v>40</v>
      </c>
      <c r="C29" s="30"/>
      <c r="D29" s="30"/>
      <c r="E29" s="30"/>
      <c r="F29" s="30"/>
      <c r="G29" s="30"/>
    </row>
    <row r="30" spans="1:72" s="1" customFormat="1" ht="15" x14ac:dyDescent="0.2">
      <c r="A30" s="21"/>
      <c r="B30" s="28"/>
      <c r="C30" s="30"/>
      <c r="D30" s="30"/>
      <c r="E30" s="30"/>
      <c r="F30" s="30"/>
      <c r="G30" s="30"/>
    </row>
    <row r="31" spans="1:72" s="1" customFormat="1" ht="15" x14ac:dyDescent="0.2">
      <c r="A31" s="31"/>
      <c r="B31" s="28"/>
      <c r="C31" s="29"/>
      <c r="D31" s="29"/>
      <c r="E31" s="29"/>
      <c r="F31" s="29"/>
      <c r="G31" s="29"/>
    </row>
    <row r="32" spans="1:72" s="1" customFormat="1" x14ac:dyDescent="0.2">
      <c r="A32" s="21"/>
      <c r="B32" s="28"/>
      <c r="C32" s="29"/>
      <c r="D32" s="29"/>
      <c r="E32" s="29"/>
      <c r="F32" s="29"/>
      <c r="G32" s="29"/>
    </row>
    <row r="33" spans="1:7" s="1" customFormat="1" x14ac:dyDescent="0.2">
      <c r="A33" s="21"/>
      <c r="B33" s="28"/>
      <c r="C33" s="29"/>
      <c r="D33" s="29"/>
      <c r="E33" s="29"/>
      <c r="F33" s="29"/>
      <c r="G33" s="29"/>
    </row>
    <row r="34" spans="1:7" s="1" customFormat="1" x14ac:dyDescent="0.2">
      <c r="A34" s="21"/>
      <c r="B34" s="28" t="s">
        <v>40</v>
      </c>
      <c r="C34" s="29"/>
      <c r="D34" s="29"/>
      <c r="E34" s="29"/>
      <c r="F34" s="29"/>
      <c r="G34" s="29"/>
    </row>
    <row r="35" spans="1:7" s="1" customFormat="1" ht="15" x14ac:dyDescent="0.2">
      <c r="A35" s="21"/>
      <c r="B35" s="32" t="s">
        <v>40</v>
      </c>
      <c r="C35" s="33"/>
      <c r="D35" s="33"/>
      <c r="E35" s="33"/>
      <c r="F35" s="33"/>
      <c r="G35" s="33"/>
    </row>
    <row r="36" spans="1:7" s="1" customFormat="1" ht="15" x14ac:dyDescent="0.2">
      <c r="A36" s="21"/>
      <c r="B36" s="32"/>
      <c r="C36" s="33"/>
      <c r="D36" s="33"/>
      <c r="E36" s="33"/>
      <c r="F36" s="33"/>
      <c r="G36" s="33"/>
    </row>
    <row r="37" spans="1:7" s="1" customFormat="1" x14ac:dyDescent="0.2">
      <c r="A37" s="21"/>
      <c r="B37" s="28" t="s">
        <v>40</v>
      </c>
      <c r="C37" s="29"/>
      <c r="D37" s="29"/>
      <c r="E37" s="29"/>
      <c r="F37" s="29"/>
      <c r="G37" s="29"/>
    </row>
    <row r="38" spans="1:7" s="1" customFormat="1" x14ac:dyDescent="0.2">
      <c r="A38" s="21"/>
      <c r="B38" s="28" t="s">
        <v>40</v>
      </c>
      <c r="C38" s="29"/>
      <c r="D38" s="29"/>
      <c r="E38" s="29"/>
      <c r="F38" s="29"/>
      <c r="G38" s="29"/>
    </row>
    <row r="39" spans="1:7" s="1" customFormat="1" x14ac:dyDescent="0.2">
      <c r="A39" s="21"/>
      <c r="B39" s="28" t="s">
        <v>40</v>
      </c>
      <c r="C39" s="29"/>
      <c r="D39" s="29"/>
      <c r="E39" s="29"/>
      <c r="F39" s="29"/>
      <c r="G39" s="29"/>
    </row>
    <row r="40" spans="1:7" s="1" customFormat="1" x14ac:dyDescent="0.2">
      <c r="A40" s="21"/>
      <c r="B40" s="28"/>
      <c r="C40" s="29"/>
      <c r="D40" s="29"/>
      <c r="E40" s="29"/>
      <c r="F40" s="29"/>
      <c r="G40" s="29"/>
    </row>
    <row r="41" spans="1:7" s="1" customFormat="1" ht="15" x14ac:dyDescent="0.2">
      <c r="A41" s="21"/>
      <c r="B41" s="32"/>
      <c r="C41" s="33"/>
      <c r="D41" s="33"/>
      <c r="E41" s="33"/>
      <c r="F41" s="33"/>
      <c r="G41" s="33"/>
    </row>
    <row r="42" spans="1:7" s="1" customFormat="1" ht="15" x14ac:dyDescent="0.2">
      <c r="A42" s="31"/>
      <c r="B42" s="32"/>
      <c r="C42" s="33"/>
      <c r="D42" s="33"/>
      <c r="E42" s="33"/>
      <c r="F42" s="33"/>
      <c r="G42" s="33"/>
    </row>
    <row r="43" spans="1:7" s="1" customFormat="1" x14ac:dyDescent="0.2">
      <c r="A43" s="34"/>
      <c r="B43" s="28" t="s">
        <v>40</v>
      </c>
      <c r="C43" s="29"/>
      <c r="D43" s="29"/>
      <c r="E43" s="29"/>
      <c r="F43" s="29"/>
      <c r="G43" s="29"/>
    </row>
    <row r="44" spans="1:7" s="1" customFormat="1" x14ac:dyDescent="0.2">
      <c r="A44" s="35"/>
      <c r="B44" s="28" t="s">
        <v>40</v>
      </c>
      <c r="C44" s="29"/>
      <c r="D44" s="29"/>
      <c r="E44" s="29"/>
      <c r="F44" s="29"/>
      <c r="G44" s="29"/>
    </row>
    <row r="45" spans="1:7" s="1" customFormat="1" x14ac:dyDescent="0.2">
      <c r="A45" s="21"/>
      <c r="B45" s="28" t="s">
        <v>40</v>
      </c>
      <c r="C45" s="29"/>
      <c r="D45" s="29"/>
      <c r="E45" s="29"/>
      <c r="F45" s="29"/>
      <c r="G45" s="29"/>
    </row>
    <row r="46" spans="1:7" s="1" customFormat="1" x14ac:dyDescent="0.2">
      <c r="A46" s="21"/>
      <c r="B46" s="28" t="s">
        <v>40</v>
      </c>
      <c r="C46" s="29"/>
      <c r="D46" s="29"/>
      <c r="E46" s="29"/>
      <c r="F46" s="29"/>
      <c r="G46" s="29"/>
    </row>
    <row r="47" spans="1:7" s="1" customFormat="1" x14ac:dyDescent="0.2">
      <c r="A47" s="21"/>
      <c r="B47" s="28"/>
      <c r="C47" s="29"/>
      <c r="D47" s="29"/>
      <c r="E47" s="29"/>
      <c r="F47" s="29"/>
      <c r="G47" s="29"/>
    </row>
    <row r="48" spans="1:7" s="1" customFormat="1" ht="15" x14ac:dyDescent="0.2">
      <c r="A48" s="36"/>
      <c r="B48" s="28" t="s">
        <v>40</v>
      </c>
      <c r="C48" s="37"/>
      <c r="D48" s="37"/>
      <c r="E48" s="37"/>
      <c r="F48" s="37"/>
      <c r="G48" s="37"/>
    </row>
    <row r="49" spans="1:7" s="1" customFormat="1" ht="15" x14ac:dyDescent="0.2">
      <c r="A49" s="34"/>
      <c r="B49" s="28" t="s">
        <v>40</v>
      </c>
      <c r="C49" s="30"/>
      <c r="D49" s="30"/>
      <c r="E49" s="30"/>
      <c r="F49" s="30"/>
      <c r="G49" s="30"/>
    </row>
    <row r="50" spans="1:7" s="1" customFormat="1" x14ac:dyDescent="0.2">
      <c r="A50" s="38"/>
      <c r="B50" s="32" t="s">
        <v>40</v>
      </c>
      <c r="C50" s="29"/>
      <c r="D50" s="29"/>
      <c r="E50" s="29"/>
      <c r="F50" s="29"/>
      <c r="G50" s="29"/>
    </row>
    <row r="51" spans="1:7" s="1" customFormat="1" x14ac:dyDescent="0.2">
      <c r="A51" s="38"/>
      <c r="B51" s="28" t="s">
        <v>40</v>
      </c>
      <c r="C51" s="29"/>
      <c r="D51" s="29"/>
      <c r="E51" s="29"/>
      <c r="F51" s="29"/>
      <c r="G51" s="29"/>
    </row>
    <row r="52" spans="1:7" s="1" customFormat="1" ht="15" x14ac:dyDescent="0.2">
      <c r="A52" s="38"/>
      <c r="B52" s="28" t="s">
        <v>40</v>
      </c>
      <c r="C52" s="30"/>
      <c r="D52" s="30"/>
      <c r="E52" s="30"/>
      <c r="F52" s="30"/>
      <c r="G52" s="30"/>
    </row>
    <row r="53" spans="1:7" s="1" customFormat="1" x14ac:dyDescent="0.2">
      <c r="A53" s="38"/>
      <c r="B53" s="28" t="s">
        <v>40</v>
      </c>
      <c r="C53" s="29"/>
      <c r="D53" s="29"/>
      <c r="E53" s="29"/>
      <c r="F53" s="29"/>
      <c r="G53" s="29"/>
    </row>
    <row r="54" spans="1:7" s="1" customFormat="1" x14ac:dyDescent="0.2">
      <c r="A54" s="38"/>
      <c r="B54" s="28" t="s">
        <v>40</v>
      </c>
      <c r="C54" s="38"/>
      <c r="D54" s="38"/>
      <c r="E54" s="38"/>
      <c r="F54" s="38"/>
      <c r="G54" s="38"/>
    </row>
    <row r="55" spans="1:7" s="1" customFormat="1" x14ac:dyDescent="0.2">
      <c r="A55" s="38"/>
      <c r="B55" s="28" t="s">
        <v>40</v>
      </c>
      <c r="C55" s="38"/>
      <c r="D55" s="38"/>
      <c r="E55" s="38"/>
      <c r="F55" s="38"/>
      <c r="G55" s="38"/>
    </row>
    <row r="56" spans="1:7" s="1" customFormat="1" x14ac:dyDescent="0.2">
      <c r="A56" s="38"/>
      <c r="B56" s="32" t="s">
        <v>40</v>
      </c>
      <c r="C56" s="38"/>
      <c r="D56" s="38"/>
      <c r="E56" s="38"/>
      <c r="F56" s="38"/>
      <c r="G56" s="38"/>
    </row>
    <row r="57" spans="1:7" s="1" customFormat="1" x14ac:dyDescent="0.2">
      <c r="A57" s="38"/>
      <c r="B57" s="28" t="s">
        <v>40</v>
      </c>
      <c r="C57" s="38"/>
      <c r="D57" s="38"/>
      <c r="E57" s="38"/>
      <c r="F57" s="38"/>
      <c r="G57" s="38"/>
    </row>
    <row r="58" spans="1:7" s="1" customFormat="1" x14ac:dyDescent="0.2">
      <c r="A58" s="38"/>
      <c r="B58" s="28" t="s">
        <v>40</v>
      </c>
      <c r="C58" s="38"/>
      <c r="D58" s="38"/>
      <c r="E58" s="38"/>
      <c r="F58" s="38"/>
      <c r="G58" s="38"/>
    </row>
    <row r="59" spans="1:7" s="1" customFormat="1" x14ac:dyDescent="0.2">
      <c r="A59" s="38"/>
      <c r="B59" s="28" t="s">
        <v>40</v>
      </c>
      <c r="C59" s="38"/>
      <c r="D59" s="38"/>
      <c r="E59" s="38"/>
      <c r="F59" s="38"/>
      <c r="G59" s="38"/>
    </row>
    <row r="60" spans="1:7" s="1" customFormat="1" ht="15" x14ac:dyDescent="0.2">
      <c r="A60" s="36"/>
      <c r="B60" s="28" t="s">
        <v>40</v>
      </c>
      <c r="C60" s="38"/>
      <c r="D60" s="38"/>
      <c r="E60" s="38"/>
      <c r="F60" s="38"/>
      <c r="G60" s="38"/>
    </row>
    <row r="61" spans="1:7" s="1" customFormat="1" x14ac:dyDescent="0.2">
      <c r="A61" s="38"/>
      <c r="B61" s="28" t="s">
        <v>40</v>
      </c>
      <c r="C61" s="38"/>
      <c r="D61" s="38"/>
      <c r="E61" s="38"/>
      <c r="F61" s="38"/>
      <c r="G61" s="38"/>
    </row>
    <row r="62" spans="1:7" s="1" customFormat="1" x14ac:dyDescent="0.2">
      <c r="A62" s="38"/>
      <c r="B62" s="28" t="s">
        <v>40</v>
      </c>
      <c r="C62" s="38"/>
      <c r="D62" s="38"/>
      <c r="E62" s="38"/>
      <c r="F62" s="38"/>
      <c r="G62" s="38"/>
    </row>
    <row r="63" spans="1:7" s="1" customFormat="1" x14ac:dyDescent="0.2">
      <c r="A63" s="38"/>
      <c r="B63" s="28" t="s">
        <v>40</v>
      </c>
      <c r="C63" s="38"/>
      <c r="D63" s="38"/>
      <c r="E63" s="38"/>
      <c r="F63" s="38"/>
      <c r="G63" s="38"/>
    </row>
    <row r="64" spans="1:7" s="1" customFormat="1" x14ac:dyDescent="0.2">
      <c r="A64" s="38"/>
      <c r="B64" s="28" t="s">
        <v>40</v>
      </c>
      <c r="C64" s="38"/>
      <c r="D64" s="38"/>
      <c r="E64" s="38"/>
      <c r="F64" s="38"/>
      <c r="G64" s="38"/>
    </row>
    <row r="65" spans="1:175" x14ac:dyDescent="0.2">
      <c r="A65" s="1"/>
      <c r="B65" s="28" t="s">
        <v>40</v>
      </c>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row>
    <row r="66" spans="1:175" ht="15" x14ac:dyDescent="0.2">
      <c r="A66" s="1"/>
      <c r="B66" s="28" t="s">
        <v>40</v>
      </c>
      <c r="C66" s="36"/>
      <c r="D66" s="36"/>
      <c r="E66" s="36"/>
      <c r="F66" s="36"/>
      <c r="G66" s="36"/>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row>
    <row r="67" spans="1:175" x14ac:dyDescent="0.2">
      <c r="A67" s="1"/>
      <c r="B67" s="28" t="s">
        <v>40</v>
      </c>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row>
    <row r="68" spans="1:175" x14ac:dyDescent="0.2">
      <c r="A68" s="1"/>
      <c r="B68" s="28"/>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row>
    <row r="69" spans="1:175" x14ac:dyDescent="0.2">
      <c r="A69" s="1"/>
      <c r="B69" s="28"/>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row>
    <row r="76" spans="1:175" x14ac:dyDescent="0.2">
      <c r="A76" s="1"/>
      <c r="B76" s="39"/>
      <c r="C76" s="40"/>
      <c r="D76" s="1"/>
      <c r="E76" s="1"/>
      <c r="F76" s="1"/>
      <c r="G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row>
    <row r="84" spans="8:72" s="38" customFormat="1" x14ac:dyDescent="0.2">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row>
    <row r="150" spans="8:72" s="38" customFormat="1" x14ac:dyDescent="0.2">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row>
  </sheetData>
  <mergeCells count="11">
    <mergeCell ref="B25:G25"/>
    <mergeCell ref="G1:G2"/>
    <mergeCell ref="B22:G22"/>
    <mergeCell ref="B24:G24"/>
    <mergeCell ref="A1:A2"/>
    <mergeCell ref="B1:B2"/>
    <mergeCell ref="C1:C2"/>
    <mergeCell ref="D1:D2"/>
    <mergeCell ref="E1:E2"/>
    <mergeCell ref="F1:F2"/>
    <mergeCell ref="B23:G23"/>
  </mergeCells>
  <conditionalFormatting sqref="D20:G20">
    <cfRule type="cellIs" dxfId="51" priority="3" operator="lessThan">
      <formula>0</formula>
    </cfRule>
    <cfRule type="cellIs" dxfId="50" priority="4" operator="greaterThan">
      <formula>0</formula>
    </cfRule>
  </conditionalFormatting>
  <conditionalFormatting sqref="B20:G20">
    <cfRule type="cellIs" dxfId="49" priority="1" operator="lessThan">
      <formula>0</formula>
    </cfRule>
    <cfRule type="cellIs" dxfId="48" priority="2" operator="greaterThan">
      <formula>0</formula>
    </cfRule>
  </conditionalFormatting>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W260"/>
  <sheetViews>
    <sheetView zoomScale="120" zoomScaleNormal="120" workbookViewId="0">
      <pane xSplit="1" topLeftCell="B1" activePane="topRight" state="frozen"/>
      <selection pane="topRight" activeCell="D40" sqref="D40"/>
    </sheetView>
  </sheetViews>
  <sheetFormatPr baseColWidth="10" defaultRowHeight="12.75" x14ac:dyDescent="0.2"/>
  <cols>
    <col min="1" max="1" width="43.42578125" style="44" customWidth="1"/>
    <col min="2" max="3" width="8.140625" style="43" customWidth="1"/>
    <col min="4" max="5" width="8.140625" style="44" customWidth="1"/>
    <col min="6" max="9" width="9.5703125" style="44" customWidth="1"/>
    <col min="10" max="20" width="9.85546875" style="44" customWidth="1"/>
    <col min="21" max="21" width="2.140625" style="44" customWidth="1"/>
    <col min="22" max="24" width="11.140625" style="44" customWidth="1"/>
    <col min="25" max="25" width="2.140625" style="45" customWidth="1"/>
    <col min="26" max="26" width="10.7109375" style="44" customWidth="1"/>
    <col min="27" max="27" width="2.140625" style="45" customWidth="1"/>
    <col min="28" max="42" width="10.7109375" style="46" customWidth="1"/>
    <col min="43" max="47" width="10.7109375" style="41" customWidth="1"/>
    <col min="48" max="48" width="2.140625" style="45" customWidth="1"/>
    <col min="49" max="63" width="10.7109375" style="46" customWidth="1"/>
    <col min="64" max="68" width="10.7109375" style="41" customWidth="1"/>
    <col min="69" max="69" width="2.140625" style="45" customWidth="1"/>
    <col min="70" max="84" width="10.7109375" style="46" customWidth="1"/>
    <col min="85" max="89" width="10.7109375" style="41" customWidth="1"/>
    <col min="90" max="16384" width="11.42578125" style="41"/>
  </cols>
  <sheetData>
    <row r="1" spans="1:179" s="46" customFormat="1" ht="10.5" customHeight="1" x14ac:dyDescent="0.2">
      <c r="A1" s="661" t="s">
        <v>127</v>
      </c>
      <c r="B1" s="663" t="s">
        <v>128</v>
      </c>
      <c r="C1" s="664"/>
      <c r="D1" s="665" t="s">
        <v>108</v>
      </c>
      <c r="E1" s="666"/>
      <c r="F1" s="654" t="s">
        <v>161</v>
      </c>
      <c r="G1" s="655"/>
      <c r="H1" s="655"/>
      <c r="I1" s="656"/>
      <c r="J1" s="90">
        <v>2020</v>
      </c>
      <c r="K1" s="654" t="s">
        <v>185</v>
      </c>
      <c r="L1" s="655"/>
      <c r="M1" s="655"/>
      <c r="N1" s="656"/>
      <c r="O1" s="90">
        <v>2021</v>
      </c>
      <c r="P1" s="654" t="s">
        <v>233</v>
      </c>
      <c r="Q1" s="655"/>
      <c r="R1" s="655"/>
      <c r="S1" s="656"/>
      <c r="T1" s="91">
        <v>2022</v>
      </c>
      <c r="U1" s="94"/>
      <c r="V1" s="644">
        <v>2023</v>
      </c>
      <c r="W1" s="645">
        <v>2024</v>
      </c>
      <c r="X1" s="646">
        <v>2025</v>
      </c>
      <c r="Y1" s="94"/>
      <c r="Z1" s="566" t="s">
        <v>238</v>
      </c>
      <c r="AA1" s="603"/>
      <c r="AB1" s="602">
        <v>2020</v>
      </c>
      <c r="AC1" s="95">
        <v>2020</v>
      </c>
      <c r="AD1" s="95">
        <v>2020</v>
      </c>
      <c r="AE1" s="90" t="s">
        <v>9</v>
      </c>
      <c r="AF1" s="584" t="s">
        <v>9</v>
      </c>
      <c r="AG1" s="602">
        <v>2020</v>
      </c>
      <c r="AH1" s="95">
        <v>2020</v>
      </c>
      <c r="AI1" s="95">
        <v>2020</v>
      </c>
      <c r="AJ1" s="90" t="s">
        <v>8</v>
      </c>
      <c r="AK1" s="584" t="s">
        <v>8</v>
      </c>
      <c r="AL1" s="602">
        <v>2020</v>
      </c>
      <c r="AM1" s="95">
        <v>2020</v>
      </c>
      <c r="AN1" s="95">
        <v>2020</v>
      </c>
      <c r="AO1" s="90" t="s">
        <v>11</v>
      </c>
      <c r="AP1" s="584" t="s">
        <v>11</v>
      </c>
      <c r="AQ1" s="602">
        <v>2020</v>
      </c>
      <c r="AR1" s="95">
        <v>2020</v>
      </c>
      <c r="AS1" s="95">
        <v>2020</v>
      </c>
      <c r="AT1" s="90" t="s">
        <v>12</v>
      </c>
      <c r="AU1" s="584" t="s">
        <v>12</v>
      </c>
      <c r="AV1" s="603"/>
      <c r="AW1" s="602">
        <v>2021</v>
      </c>
      <c r="AX1" s="96">
        <v>2021</v>
      </c>
      <c r="AY1" s="96">
        <v>2021</v>
      </c>
      <c r="AZ1" s="90" t="s">
        <v>188</v>
      </c>
      <c r="BA1" s="584" t="s">
        <v>188</v>
      </c>
      <c r="BB1" s="602">
        <v>2021</v>
      </c>
      <c r="BC1" s="96">
        <v>2021</v>
      </c>
      <c r="BD1" s="96">
        <v>2021</v>
      </c>
      <c r="BE1" s="90" t="s">
        <v>189</v>
      </c>
      <c r="BF1" s="584" t="s">
        <v>189</v>
      </c>
      <c r="BG1" s="602">
        <v>2021</v>
      </c>
      <c r="BH1" s="96">
        <v>2021</v>
      </c>
      <c r="BI1" s="96">
        <v>2021</v>
      </c>
      <c r="BJ1" s="90" t="s">
        <v>190</v>
      </c>
      <c r="BK1" s="584" t="s">
        <v>190</v>
      </c>
      <c r="BL1" s="586">
        <v>2021</v>
      </c>
      <c r="BM1" s="97">
        <v>2021</v>
      </c>
      <c r="BN1" s="97">
        <v>2021</v>
      </c>
      <c r="BO1" s="90" t="s">
        <v>187</v>
      </c>
      <c r="BP1" s="584" t="s">
        <v>187</v>
      </c>
      <c r="BQ1" s="94"/>
      <c r="BR1" s="586">
        <v>2022</v>
      </c>
      <c r="BS1" s="97">
        <v>2022</v>
      </c>
      <c r="BT1" s="97">
        <v>2022</v>
      </c>
      <c r="BU1" s="90" t="s">
        <v>234</v>
      </c>
      <c r="BV1" s="584" t="s">
        <v>234</v>
      </c>
      <c r="BW1" s="586">
        <v>2022</v>
      </c>
      <c r="BX1" s="97">
        <v>2022</v>
      </c>
      <c r="BY1" s="97">
        <v>2022</v>
      </c>
      <c r="BZ1" s="90" t="s">
        <v>235</v>
      </c>
      <c r="CA1" s="584" t="s">
        <v>235</v>
      </c>
      <c r="CB1" s="586">
        <v>2022</v>
      </c>
      <c r="CC1" s="97">
        <v>2022</v>
      </c>
      <c r="CD1" s="97">
        <v>2022</v>
      </c>
      <c r="CE1" s="90" t="s">
        <v>236</v>
      </c>
      <c r="CF1" s="584" t="s">
        <v>236</v>
      </c>
      <c r="CG1" s="586">
        <v>2022</v>
      </c>
      <c r="CH1" s="97">
        <v>2022</v>
      </c>
      <c r="CI1" s="97">
        <v>2022</v>
      </c>
      <c r="CJ1" s="90" t="s">
        <v>237</v>
      </c>
      <c r="CK1" s="584" t="s">
        <v>237</v>
      </c>
    </row>
    <row r="2" spans="1:179" s="46" customFormat="1" ht="10.5" customHeight="1" thickBot="1" x14ac:dyDescent="0.25">
      <c r="A2" s="662"/>
      <c r="B2" s="691" t="s">
        <v>113</v>
      </c>
      <c r="C2" s="692"/>
      <c r="D2" s="659" t="s">
        <v>129</v>
      </c>
      <c r="E2" s="660"/>
      <c r="F2" s="98" t="s">
        <v>215</v>
      </c>
      <c r="G2" s="99" t="s">
        <v>216</v>
      </c>
      <c r="H2" s="99" t="s">
        <v>6</v>
      </c>
      <c r="I2" s="100" t="s">
        <v>7</v>
      </c>
      <c r="J2" s="101" t="s">
        <v>162</v>
      </c>
      <c r="K2" s="98" t="s">
        <v>4</v>
      </c>
      <c r="L2" s="99" t="s">
        <v>5</v>
      </c>
      <c r="M2" s="99" t="s">
        <v>6</v>
      </c>
      <c r="N2" s="100" t="s">
        <v>7</v>
      </c>
      <c r="O2" s="101" t="s">
        <v>162</v>
      </c>
      <c r="P2" s="98" t="s">
        <v>4</v>
      </c>
      <c r="Q2" s="99" t="s">
        <v>5</v>
      </c>
      <c r="R2" s="99" t="s">
        <v>6</v>
      </c>
      <c r="S2" s="100" t="s">
        <v>7</v>
      </c>
      <c r="T2" s="102" t="s">
        <v>162</v>
      </c>
      <c r="U2" s="563"/>
      <c r="V2" s="667" t="s">
        <v>186</v>
      </c>
      <c r="W2" s="668"/>
      <c r="X2" s="669"/>
      <c r="Y2" s="103"/>
      <c r="Z2" s="565" t="s">
        <v>163</v>
      </c>
      <c r="AA2" s="604"/>
      <c r="AB2" s="587" t="s">
        <v>164</v>
      </c>
      <c r="AC2" s="104" t="s">
        <v>172</v>
      </c>
      <c r="AD2" s="104" t="s">
        <v>165</v>
      </c>
      <c r="AE2" s="105" t="s">
        <v>171</v>
      </c>
      <c r="AF2" s="585" t="s">
        <v>10</v>
      </c>
      <c r="AG2" s="587" t="s">
        <v>0</v>
      </c>
      <c r="AH2" s="104" t="s">
        <v>166</v>
      </c>
      <c r="AI2" s="104" t="s">
        <v>167</v>
      </c>
      <c r="AJ2" s="105" t="s">
        <v>171</v>
      </c>
      <c r="AK2" s="585" t="s">
        <v>10</v>
      </c>
      <c r="AL2" s="587" t="s">
        <v>168</v>
      </c>
      <c r="AM2" s="104" t="s">
        <v>1</v>
      </c>
      <c r="AN2" s="104" t="s">
        <v>2</v>
      </c>
      <c r="AO2" s="105" t="s">
        <v>171</v>
      </c>
      <c r="AP2" s="585" t="s">
        <v>10</v>
      </c>
      <c r="AQ2" s="587" t="s">
        <v>169</v>
      </c>
      <c r="AR2" s="104" t="s">
        <v>3</v>
      </c>
      <c r="AS2" s="104" t="s">
        <v>170</v>
      </c>
      <c r="AT2" s="105" t="s">
        <v>171</v>
      </c>
      <c r="AU2" s="585" t="s">
        <v>10</v>
      </c>
      <c r="AV2" s="604"/>
      <c r="AW2" s="587" t="s">
        <v>164</v>
      </c>
      <c r="AX2" s="104" t="s">
        <v>172</v>
      </c>
      <c r="AY2" s="104" t="s">
        <v>165</v>
      </c>
      <c r="AZ2" s="105" t="s">
        <v>171</v>
      </c>
      <c r="BA2" s="585" t="s">
        <v>10</v>
      </c>
      <c r="BB2" s="587" t="s">
        <v>0</v>
      </c>
      <c r="BC2" s="104" t="s">
        <v>166</v>
      </c>
      <c r="BD2" s="104" t="s">
        <v>167</v>
      </c>
      <c r="BE2" s="105" t="s">
        <v>171</v>
      </c>
      <c r="BF2" s="585" t="s">
        <v>10</v>
      </c>
      <c r="BG2" s="587" t="s">
        <v>168</v>
      </c>
      <c r="BH2" s="104" t="s">
        <v>1</v>
      </c>
      <c r="BI2" s="104" t="s">
        <v>2</v>
      </c>
      <c r="BJ2" s="105" t="s">
        <v>171</v>
      </c>
      <c r="BK2" s="585" t="s">
        <v>10</v>
      </c>
      <c r="BL2" s="587" t="s">
        <v>169</v>
      </c>
      <c r="BM2" s="104" t="s">
        <v>3</v>
      </c>
      <c r="BN2" s="104" t="s">
        <v>170</v>
      </c>
      <c r="BO2" s="105" t="s">
        <v>171</v>
      </c>
      <c r="BP2" s="585" t="s">
        <v>10</v>
      </c>
      <c r="BQ2" s="103"/>
      <c r="BR2" s="587" t="s">
        <v>164</v>
      </c>
      <c r="BS2" s="104" t="s">
        <v>172</v>
      </c>
      <c r="BT2" s="104" t="s">
        <v>165</v>
      </c>
      <c r="BU2" s="105" t="s">
        <v>171</v>
      </c>
      <c r="BV2" s="585" t="s">
        <v>10</v>
      </c>
      <c r="BW2" s="587" t="s">
        <v>0</v>
      </c>
      <c r="BX2" s="104" t="s">
        <v>166</v>
      </c>
      <c r="BY2" s="104" t="s">
        <v>167</v>
      </c>
      <c r="BZ2" s="105" t="s">
        <v>171</v>
      </c>
      <c r="CA2" s="585" t="s">
        <v>10</v>
      </c>
      <c r="CB2" s="587" t="s">
        <v>168</v>
      </c>
      <c r="CC2" s="104" t="s">
        <v>1</v>
      </c>
      <c r="CD2" s="104" t="s">
        <v>2</v>
      </c>
      <c r="CE2" s="105" t="s">
        <v>171</v>
      </c>
      <c r="CF2" s="585" t="s">
        <v>10</v>
      </c>
      <c r="CG2" s="587" t="s">
        <v>169</v>
      </c>
      <c r="CH2" s="104" t="s">
        <v>3</v>
      </c>
      <c r="CI2" s="104" t="s">
        <v>170</v>
      </c>
      <c r="CJ2" s="105" t="s">
        <v>171</v>
      </c>
      <c r="CK2" s="585" t="s">
        <v>10</v>
      </c>
    </row>
    <row r="3" spans="1:179" s="116" customFormat="1" ht="10.5" customHeight="1" x14ac:dyDescent="0.15">
      <c r="A3" s="467" t="s">
        <v>212</v>
      </c>
      <c r="B3" s="106"/>
      <c r="C3" s="107"/>
      <c r="D3" s="106"/>
      <c r="E3" s="108"/>
      <c r="F3" s="478"/>
      <c r="G3" s="479"/>
      <c r="H3" s="479"/>
      <c r="I3" s="479"/>
      <c r="J3" s="109"/>
      <c r="K3" s="479"/>
      <c r="L3" s="479"/>
      <c r="M3" s="479"/>
      <c r="N3" s="479"/>
      <c r="O3" s="110"/>
      <c r="P3" s="479"/>
      <c r="Q3" s="479"/>
      <c r="R3" s="479"/>
      <c r="S3" s="479"/>
      <c r="T3" s="111"/>
      <c r="U3" s="114"/>
      <c r="V3" s="112"/>
      <c r="W3" s="109"/>
      <c r="X3" s="113"/>
      <c r="Y3" s="114"/>
      <c r="Z3" s="567"/>
      <c r="AA3" s="605"/>
      <c r="AB3" s="478"/>
      <c r="AC3" s="479"/>
      <c r="AD3" s="479"/>
      <c r="AE3" s="479"/>
      <c r="AF3" s="115"/>
      <c r="AG3" s="478"/>
      <c r="AH3" s="479"/>
      <c r="AI3" s="479"/>
      <c r="AJ3" s="479"/>
      <c r="AK3" s="115"/>
      <c r="AL3" s="478"/>
      <c r="AM3" s="479"/>
      <c r="AN3" s="479"/>
      <c r="AO3" s="479"/>
      <c r="AP3" s="115"/>
      <c r="AQ3" s="478"/>
      <c r="AR3" s="479"/>
      <c r="AS3" s="479"/>
      <c r="AT3" s="479"/>
      <c r="AU3" s="115"/>
      <c r="AV3" s="605"/>
      <c r="AW3" s="478"/>
      <c r="AX3" s="479"/>
      <c r="AY3" s="479"/>
      <c r="AZ3" s="479"/>
      <c r="BA3" s="115"/>
      <c r="BB3" s="478"/>
      <c r="BC3" s="479"/>
      <c r="BD3" s="479"/>
      <c r="BE3" s="479"/>
      <c r="BF3" s="115"/>
      <c r="BG3" s="478"/>
      <c r="BH3" s="479"/>
      <c r="BI3" s="479"/>
      <c r="BJ3" s="479"/>
      <c r="BK3" s="115"/>
      <c r="BL3" s="478"/>
      <c r="BM3" s="479"/>
      <c r="BN3" s="479"/>
      <c r="BO3" s="479"/>
      <c r="BP3" s="115"/>
      <c r="BQ3" s="114"/>
      <c r="BR3" s="478"/>
      <c r="BS3" s="479"/>
      <c r="BT3" s="479"/>
      <c r="BU3" s="479"/>
      <c r="BV3" s="115"/>
      <c r="BW3" s="478"/>
      <c r="BX3" s="479"/>
      <c r="BY3" s="479"/>
      <c r="BZ3" s="479"/>
      <c r="CA3" s="115"/>
      <c r="CB3" s="478"/>
      <c r="CC3" s="479"/>
      <c r="CD3" s="479"/>
      <c r="CE3" s="479"/>
      <c r="CF3" s="115"/>
      <c r="CG3" s="478"/>
      <c r="CH3" s="479"/>
      <c r="CI3" s="479"/>
      <c r="CJ3" s="479"/>
      <c r="CK3" s="115"/>
    </row>
    <row r="4" spans="1:179" s="57" customFormat="1" ht="9.75" customHeight="1" x14ac:dyDescent="0.15">
      <c r="A4" s="468" t="s">
        <v>130</v>
      </c>
      <c r="B4" s="117">
        <f>B45</f>
        <v>0.3</v>
      </c>
      <c r="C4" s="118">
        <f>C45</f>
        <v>10000000</v>
      </c>
      <c r="D4" s="670" t="s">
        <v>160</v>
      </c>
      <c r="E4" s="671"/>
      <c r="F4" s="480">
        <f>SUM(1000/G44)</f>
        <v>200</v>
      </c>
      <c r="G4" s="481">
        <f>SUM((F45+F46)/G44)</f>
        <v>200</v>
      </c>
      <c r="H4" s="481">
        <f>SUM((G45+G46)/H44)</f>
        <v>2333.333333333333</v>
      </c>
      <c r="I4" s="481">
        <f>SUM((H45+H46)/I44)</f>
        <v>2000</v>
      </c>
      <c r="J4" s="119">
        <f>SUM(F4+G4+H4+I4)*3</f>
        <v>14200</v>
      </c>
      <c r="K4" s="482">
        <f>SUM((I45+I46)/K44)</f>
        <v>1600.8246397021867</v>
      </c>
      <c r="L4" s="482">
        <f>SUM((K45+K46)/L44)</f>
        <v>2062.7135025149792</v>
      </c>
      <c r="M4" s="482">
        <f>SUM((L45+L46)/M44)</f>
        <v>1988.3130478808366</v>
      </c>
      <c r="N4" s="482">
        <f>SUM((M45+M46)/N44)</f>
        <v>3604.7720029702177</v>
      </c>
      <c r="O4" s="119">
        <f>SUM(K4+L4+M4+N4)*3</f>
        <v>27769.869579204664</v>
      </c>
      <c r="P4" s="482">
        <f>SUM((N45+N46)/P44)</f>
        <v>5895.3281889248447</v>
      </c>
      <c r="Q4" s="482">
        <f>SUM((P45+P46)/Q44)</f>
        <v>9364.9857436964121</v>
      </c>
      <c r="R4" s="482">
        <f>SUM((Q45+Q46)/R44)</f>
        <v>14839.654817639512</v>
      </c>
      <c r="S4" s="482">
        <f>SUM((R45+R46)/S44)</f>
        <v>23572.31380991518</v>
      </c>
      <c r="T4" s="120">
        <f>SUM(P4+Q4+R4+S4)*3</f>
        <v>161016.84768052786</v>
      </c>
      <c r="U4" s="123"/>
      <c r="V4" s="121">
        <f>SUM(V45/V44)</f>
        <v>183496.86684471482</v>
      </c>
      <c r="W4" s="119">
        <f>SUM(W45/W44)</f>
        <v>1578702.1406399021</v>
      </c>
      <c r="X4" s="122">
        <f>SUM(X45/X44)</f>
        <v>2000000</v>
      </c>
      <c r="Y4" s="123"/>
      <c r="Z4" s="568">
        <v>0</v>
      </c>
      <c r="AA4" s="606"/>
      <c r="AB4" s="480">
        <f t="shared" ref="AB4:AB15" si="0">F4</f>
        <v>200</v>
      </c>
      <c r="AC4" s="482">
        <f t="shared" ref="AC4:AC15" si="1">F4</f>
        <v>200</v>
      </c>
      <c r="AD4" s="482">
        <f t="shared" ref="AD4:AD15" si="2">F4</f>
        <v>200</v>
      </c>
      <c r="AE4" s="482">
        <f>SUM(AB4:AD4)</f>
        <v>600</v>
      </c>
      <c r="AF4" s="124"/>
      <c r="AG4" s="480">
        <f t="shared" ref="AG4:AG15" si="3">G4</f>
        <v>200</v>
      </c>
      <c r="AH4" s="482">
        <f t="shared" ref="AH4:AH15" si="4">G4</f>
        <v>200</v>
      </c>
      <c r="AI4" s="482">
        <f t="shared" ref="AI4:AI15" si="5">G4</f>
        <v>200</v>
      </c>
      <c r="AJ4" s="482">
        <f>SUM(AG4:AI4)</f>
        <v>600</v>
      </c>
      <c r="AK4" s="124"/>
      <c r="AL4" s="480">
        <f t="shared" ref="AL4:AL15" si="6">H4</f>
        <v>2333.333333333333</v>
      </c>
      <c r="AM4" s="482">
        <f t="shared" ref="AM4:AM15" si="7">H4</f>
        <v>2333.333333333333</v>
      </c>
      <c r="AN4" s="482">
        <f t="shared" ref="AN4:AN15" si="8">H4</f>
        <v>2333.333333333333</v>
      </c>
      <c r="AO4" s="482">
        <f>SUM(AL4:AN4)</f>
        <v>6999.9999999999991</v>
      </c>
      <c r="AP4" s="124"/>
      <c r="AQ4" s="480">
        <f t="shared" ref="AQ4:AQ15" si="9">I4</f>
        <v>2000</v>
      </c>
      <c r="AR4" s="482">
        <f t="shared" ref="AR4:AR15" si="10">I4</f>
        <v>2000</v>
      </c>
      <c r="AS4" s="482">
        <f t="shared" ref="AS4:AS15" si="11">I4</f>
        <v>2000</v>
      </c>
      <c r="AT4" s="482">
        <f>SUM(AQ4:AS4)</f>
        <v>6000</v>
      </c>
      <c r="AU4" s="124"/>
      <c r="AV4" s="606"/>
      <c r="AW4" s="480">
        <f t="shared" ref="AW4:AW15" si="12">K4</f>
        <v>1600.8246397021867</v>
      </c>
      <c r="AX4" s="482">
        <f t="shared" ref="AX4:AX15" si="13">K4</f>
        <v>1600.8246397021867</v>
      </c>
      <c r="AY4" s="482">
        <f t="shared" ref="AY4:AY15" si="14">K4</f>
        <v>1600.8246397021867</v>
      </c>
      <c r="AZ4" s="482">
        <f>SUM(AW4:AY4)</f>
        <v>4802.4739191065601</v>
      </c>
      <c r="BA4" s="124"/>
      <c r="BB4" s="480">
        <f t="shared" ref="BB4:BB15" si="15">L4</f>
        <v>2062.7135025149792</v>
      </c>
      <c r="BC4" s="482">
        <f t="shared" ref="BC4:BC15" si="16">L4</f>
        <v>2062.7135025149792</v>
      </c>
      <c r="BD4" s="482">
        <f t="shared" ref="BD4:BD15" si="17">L4</f>
        <v>2062.7135025149792</v>
      </c>
      <c r="BE4" s="482">
        <f>SUM(BB4:BD4)</f>
        <v>6188.1405075449375</v>
      </c>
      <c r="BF4" s="124"/>
      <c r="BG4" s="480">
        <f t="shared" ref="BG4:BG15" si="18">M4</f>
        <v>1988.3130478808366</v>
      </c>
      <c r="BH4" s="482">
        <f t="shared" ref="BH4:BH15" si="19">M4</f>
        <v>1988.3130478808366</v>
      </c>
      <c r="BI4" s="482">
        <f t="shared" ref="BI4:BI15" si="20">M4</f>
        <v>1988.3130478808366</v>
      </c>
      <c r="BJ4" s="482">
        <f>SUM(BG4:BI4)</f>
        <v>5964.9391436425103</v>
      </c>
      <c r="BK4" s="124"/>
      <c r="BL4" s="480">
        <f t="shared" ref="BL4:BL15" si="21">N4</f>
        <v>3604.7720029702177</v>
      </c>
      <c r="BM4" s="482">
        <f t="shared" ref="BM4:BM15" si="22">N4</f>
        <v>3604.7720029702177</v>
      </c>
      <c r="BN4" s="482">
        <f t="shared" ref="BN4:BN15" si="23">N4</f>
        <v>3604.7720029702177</v>
      </c>
      <c r="BO4" s="482">
        <f>SUM(BL4:BN4)</f>
        <v>10814.316008910653</v>
      </c>
      <c r="BP4" s="124"/>
      <c r="BQ4" s="123"/>
      <c r="BR4" s="480">
        <f t="shared" ref="BR4:BR15" si="24">P4</f>
        <v>5895.3281889248447</v>
      </c>
      <c r="BS4" s="482">
        <f t="shared" ref="BS4:BS15" si="25">P4</f>
        <v>5895.3281889248447</v>
      </c>
      <c r="BT4" s="482">
        <f t="shared" ref="BT4:BT15" si="26">P4</f>
        <v>5895.3281889248447</v>
      </c>
      <c r="BU4" s="482">
        <f>SUM(BR4:BT4)</f>
        <v>17685.984566774532</v>
      </c>
      <c r="BV4" s="124"/>
      <c r="BW4" s="480">
        <f t="shared" ref="BW4:BW15" si="27">Q4</f>
        <v>9364.9857436964121</v>
      </c>
      <c r="BX4" s="482">
        <f t="shared" ref="BX4:BX15" si="28">Q4</f>
        <v>9364.9857436964121</v>
      </c>
      <c r="BY4" s="482">
        <f t="shared" ref="BY4:BY15" si="29">Q4</f>
        <v>9364.9857436964121</v>
      </c>
      <c r="BZ4" s="482">
        <f>SUM(BW4:BY4)</f>
        <v>28094.957231089236</v>
      </c>
      <c r="CA4" s="124"/>
      <c r="CB4" s="480">
        <f t="shared" ref="CB4:CB15" si="30">R4</f>
        <v>14839.654817639512</v>
      </c>
      <c r="CC4" s="482">
        <f t="shared" ref="CC4:CC15" si="31">R4</f>
        <v>14839.654817639512</v>
      </c>
      <c r="CD4" s="482">
        <f t="shared" ref="CD4:CD15" si="32">R4</f>
        <v>14839.654817639512</v>
      </c>
      <c r="CE4" s="482">
        <f>SUM(CB4:CD4)</f>
        <v>44518.964452918532</v>
      </c>
      <c r="CF4" s="124"/>
      <c r="CG4" s="480">
        <f t="shared" ref="CG4:CG15" si="33">S4</f>
        <v>23572.31380991518</v>
      </c>
      <c r="CH4" s="482">
        <f t="shared" ref="CH4:CH15" si="34">S4</f>
        <v>23572.31380991518</v>
      </c>
      <c r="CI4" s="482">
        <f t="shared" ref="CI4:CI15" si="35">S4</f>
        <v>23572.31380991518</v>
      </c>
      <c r="CJ4" s="482">
        <f>SUM(CG4:CI4)</f>
        <v>70716.941429745537</v>
      </c>
      <c r="CK4" s="124"/>
    </row>
    <row r="5" spans="1:179" s="57" customFormat="1" ht="9.75" customHeight="1" x14ac:dyDescent="0.15">
      <c r="A5" s="468" t="s">
        <v>131</v>
      </c>
      <c r="B5" s="284">
        <v>200</v>
      </c>
      <c r="C5" s="285">
        <v>0.05</v>
      </c>
      <c r="D5" s="693"/>
      <c r="E5" s="694"/>
      <c r="F5" s="127">
        <v>1500</v>
      </c>
      <c r="G5" s="128">
        <v>2000</v>
      </c>
      <c r="H5" s="482">
        <f>SUM((IF(ISBLANK(D5),B5,D5))+(G5)*(IF(ISBLANK(E5),(1+C5),(1+E5))))</f>
        <v>2300</v>
      </c>
      <c r="I5" s="482">
        <f>SUM((IF(ISBLANK(D5),B5,D5))+(H5)*(IF(ISBLANK(E5),(1+C5),(1+E5))))</f>
        <v>2615</v>
      </c>
      <c r="J5" s="119">
        <f>SUM(F5+G5+H5+I5)*3</f>
        <v>25245</v>
      </c>
      <c r="K5" s="482">
        <f>SUM((IF(ISBLANK(D5),B5,D5))+(I5)*(IF(ISBLANK(E5),(1+C5),(1+E5))))</f>
        <v>2945.75</v>
      </c>
      <c r="L5" s="482">
        <f>SUM((IF(ISBLANK(D5),B5,D5))+(K5)*(IF(ISBLANK(E5),(1+C5),(1+E5))))</f>
        <v>3293.0374999999999</v>
      </c>
      <c r="M5" s="482">
        <f>SUM((IF(ISBLANK(D5),B5,D5))+(L5)*(IF(ISBLANK(E5),(1+C5),(1+E5))))</f>
        <v>3657.6893749999999</v>
      </c>
      <c r="N5" s="482">
        <f>SUM((IF(ISBLANK(D5),B5,D5))+(M5)*(IF(ISBLANK(E5),(1+C5),(1+E5))))</f>
        <v>4040.5738437499999</v>
      </c>
      <c r="O5" s="119">
        <f>SUM(K5+L5+M5+N5)*3</f>
        <v>41811.152156249998</v>
      </c>
      <c r="P5" s="482">
        <f>SUM((IF(ISBLANK(D5),B5,D5))+(N5)*(IF(ISBLANK(E5),(1+C5),(1+E5))))</f>
        <v>4442.6025359374999</v>
      </c>
      <c r="Q5" s="482">
        <f>SUM((IF(ISBLANK(D5),B5,D5))+(P5)*(IF(ISBLANK(E5),(1+C5),(1+E5))))</f>
        <v>4864.7326627343755</v>
      </c>
      <c r="R5" s="482">
        <f>SUM((IF(ISBLANK(D5),B5,D5))+(Q5)*(IF(ISBLANK(E5),(1+C5),(1+E5))))</f>
        <v>5307.9692958710948</v>
      </c>
      <c r="S5" s="482">
        <f>SUM((IF(ISBLANK(D5),B5,D5))+(R5)*(IF(ISBLANK(E5),(1+C5),(1+E5))))</f>
        <v>5773.3677606646497</v>
      </c>
      <c r="T5" s="120">
        <f>SUM(P5+Q5+R5+S5)*3</f>
        <v>61166.016765622859</v>
      </c>
      <c r="U5" s="123"/>
      <c r="V5" s="121">
        <f>SUM((IF(ISBLANK(D5),B5,D5))+(S5)*(IF(ISBLANK(E5),(1+C5),(1+E5))))*12</f>
        <v>75144.433784374589</v>
      </c>
      <c r="W5" s="119">
        <f>SUM((IF(ISBLANK(D5),B5,D5))+(V5)*(IF(ISBLANK(E5),(1+C5),(1+E5))))</f>
        <v>79101.655473593317</v>
      </c>
      <c r="X5" s="122">
        <f>SUM((IF(ISBLANK(D5),B5,D5))+(W5)*(IF(ISBLANK(E5),(1+C5),(1+E5))))</f>
        <v>83256.738247272981</v>
      </c>
      <c r="Y5" s="123"/>
      <c r="Z5" s="568">
        <v>2300</v>
      </c>
      <c r="AA5" s="606"/>
      <c r="AB5" s="480">
        <f t="shared" si="0"/>
        <v>1500</v>
      </c>
      <c r="AC5" s="482">
        <f t="shared" si="1"/>
        <v>1500</v>
      </c>
      <c r="AD5" s="482">
        <f t="shared" si="2"/>
        <v>1500</v>
      </c>
      <c r="AE5" s="482">
        <f>SUM(AB5:AD5)</f>
        <v>4500</v>
      </c>
      <c r="AF5" s="124"/>
      <c r="AG5" s="480">
        <f t="shared" si="3"/>
        <v>2000</v>
      </c>
      <c r="AH5" s="482">
        <f t="shared" si="4"/>
        <v>2000</v>
      </c>
      <c r="AI5" s="482">
        <f t="shared" si="5"/>
        <v>2000</v>
      </c>
      <c r="AJ5" s="482">
        <f>SUM(AG5:AI5)</f>
        <v>6000</v>
      </c>
      <c r="AK5" s="124"/>
      <c r="AL5" s="480">
        <f t="shared" si="6"/>
        <v>2300</v>
      </c>
      <c r="AM5" s="482">
        <f t="shared" si="7"/>
        <v>2300</v>
      </c>
      <c r="AN5" s="482">
        <f t="shared" si="8"/>
        <v>2300</v>
      </c>
      <c r="AO5" s="482">
        <f>SUM(AL5:AN5)</f>
        <v>6900</v>
      </c>
      <c r="AP5" s="124"/>
      <c r="AQ5" s="480">
        <f t="shared" si="9"/>
        <v>2615</v>
      </c>
      <c r="AR5" s="482">
        <f t="shared" si="10"/>
        <v>2615</v>
      </c>
      <c r="AS5" s="482">
        <f t="shared" si="11"/>
        <v>2615</v>
      </c>
      <c r="AT5" s="482">
        <f>SUM(AQ5:AS5)</f>
        <v>7845</v>
      </c>
      <c r="AU5" s="124"/>
      <c r="AV5" s="606"/>
      <c r="AW5" s="480">
        <f t="shared" si="12"/>
        <v>2945.75</v>
      </c>
      <c r="AX5" s="482">
        <f t="shared" si="13"/>
        <v>2945.75</v>
      </c>
      <c r="AY5" s="482">
        <f t="shared" si="14"/>
        <v>2945.75</v>
      </c>
      <c r="AZ5" s="482">
        <f>SUM(AW5:AY5)</f>
        <v>8837.25</v>
      </c>
      <c r="BA5" s="124"/>
      <c r="BB5" s="480">
        <f t="shared" si="15"/>
        <v>3293.0374999999999</v>
      </c>
      <c r="BC5" s="482">
        <f t="shared" si="16"/>
        <v>3293.0374999999999</v>
      </c>
      <c r="BD5" s="482">
        <f t="shared" si="17"/>
        <v>3293.0374999999999</v>
      </c>
      <c r="BE5" s="482">
        <f>SUM(BB5:BD5)</f>
        <v>9879.1124999999993</v>
      </c>
      <c r="BF5" s="124"/>
      <c r="BG5" s="480">
        <f t="shared" si="18"/>
        <v>3657.6893749999999</v>
      </c>
      <c r="BH5" s="482">
        <f t="shared" si="19"/>
        <v>3657.6893749999999</v>
      </c>
      <c r="BI5" s="482">
        <f t="shared" si="20"/>
        <v>3657.6893749999999</v>
      </c>
      <c r="BJ5" s="482">
        <f>SUM(BG5:BI5)</f>
        <v>10973.068125</v>
      </c>
      <c r="BK5" s="124"/>
      <c r="BL5" s="480">
        <f t="shared" si="21"/>
        <v>4040.5738437499999</v>
      </c>
      <c r="BM5" s="482">
        <f t="shared" si="22"/>
        <v>4040.5738437499999</v>
      </c>
      <c r="BN5" s="482">
        <f t="shared" si="23"/>
        <v>4040.5738437499999</v>
      </c>
      <c r="BO5" s="482">
        <f>SUM(BL5:BN5)</f>
        <v>12121.721531249999</v>
      </c>
      <c r="BP5" s="124"/>
      <c r="BQ5" s="123"/>
      <c r="BR5" s="480">
        <f t="shared" si="24"/>
        <v>4442.6025359374999</v>
      </c>
      <c r="BS5" s="482">
        <f t="shared" si="25"/>
        <v>4442.6025359374999</v>
      </c>
      <c r="BT5" s="482">
        <f t="shared" si="26"/>
        <v>4442.6025359374999</v>
      </c>
      <c r="BU5" s="482">
        <f>SUM(BR5:BT5)</f>
        <v>13327.8076078125</v>
      </c>
      <c r="BV5" s="124"/>
      <c r="BW5" s="480">
        <f t="shared" si="27"/>
        <v>4864.7326627343755</v>
      </c>
      <c r="BX5" s="482">
        <f t="shared" si="28"/>
        <v>4864.7326627343755</v>
      </c>
      <c r="BY5" s="482">
        <f t="shared" si="29"/>
        <v>4864.7326627343755</v>
      </c>
      <c r="BZ5" s="482">
        <f>SUM(BW5:BY5)</f>
        <v>14594.197988203126</v>
      </c>
      <c r="CA5" s="124"/>
      <c r="CB5" s="480">
        <f t="shared" si="30"/>
        <v>5307.9692958710948</v>
      </c>
      <c r="CC5" s="482">
        <f t="shared" si="31"/>
        <v>5307.9692958710948</v>
      </c>
      <c r="CD5" s="482">
        <f t="shared" si="32"/>
        <v>5307.9692958710948</v>
      </c>
      <c r="CE5" s="482">
        <f>SUM(CB5:CD5)</f>
        <v>15923.907887613284</v>
      </c>
      <c r="CF5" s="124"/>
      <c r="CG5" s="480">
        <f t="shared" si="33"/>
        <v>5773.3677606646497</v>
      </c>
      <c r="CH5" s="482">
        <f t="shared" si="34"/>
        <v>5773.3677606646497</v>
      </c>
      <c r="CI5" s="482">
        <f t="shared" si="35"/>
        <v>5773.3677606646497</v>
      </c>
      <c r="CJ5" s="482">
        <f>SUM(CG5:CI5)</f>
        <v>17320.10328199395</v>
      </c>
      <c r="CK5" s="124"/>
    </row>
    <row r="6" spans="1:179" s="57" customFormat="1" ht="9.75" customHeight="1" x14ac:dyDescent="0.15">
      <c r="A6" s="468" t="s">
        <v>132</v>
      </c>
      <c r="B6" s="121">
        <v>100</v>
      </c>
      <c r="C6" s="126">
        <v>0.02</v>
      </c>
      <c r="D6" s="129"/>
      <c r="E6" s="624"/>
      <c r="F6" s="127">
        <v>0</v>
      </c>
      <c r="G6" s="128">
        <v>100</v>
      </c>
      <c r="H6" s="482">
        <f>SUM(IF(ISBLANK(D6),B6,D6)+(G18*(IF(ISBLANK(E6),C6,E6))))</f>
        <v>202.38028305815033</v>
      </c>
      <c r="I6" s="482">
        <f>SUM(IF(ISBLANK(D6),B6,D6)+(H18*(IF(ISBLANK(E6),C6,E6))))</f>
        <v>495.09496432822505</v>
      </c>
      <c r="J6" s="119">
        <f>SUM(F6+G6+H6+I6)*3</f>
        <v>2392.425742159126</v>
      </c>
      <c r="K6" s="482">
        <f>SUM(IF(ISBLANK(D6),B6,D6)+(I18*(IF(ISBLANK(E6),C6,E6))))</f>
        <v>771.70004256191157</v>
      </c>
      <c r="L6" s="482">
        <f>SUM(IF(ISBLANK(D6),B6,D6)+(K18*(IF(ISBLANK(E6),C6,E6))))</f>
        <v>1019.7994593266724</v>
      </c>
      <c r="M6" s="482">
        <f>SUM(IF(ISBLANK(D6),B6,D6)+(L18*(IF(ISBLANK(E6),C6,E6))))</f>
        <v>1321.7126857639325</v>
      </c>
      <c r="N6" s="482">
        <f>SUM(IF(ISBLANK(D6),B6,D6)+(M18*(IF(ISBLANK(E6),C6,E6))))</f>
        <v>1670.3653548724033</v>
      </c>
      <c r="O6" s="119">
        <f>SUM(K6+L6+M6+N6)*3</f>
        <v>14350.732627574758</v>
      </c>
      <c r="P6" s="482">
        <f>SUM(IF(ISBLANK(D6),B6,D6)+(N18*(IF(ISBLANK(E6),C6,E6))))</f>
        <v>2185.778859278892</v>
      </c>
      <c r="Q6" s="482">
        <f>SUM(IF(ISBLANK(D6),B6,D6)+(P18*(IF(ISBLANK(E6),C6,E6))))</f>
        <v>2941.5729382879213</v>
      </c>
      <c r="R6" s="482">
        <f>SUM(IF(ISBLANK(D6),B6,D6)+(Q18*(IF(ISBLANK(E6),C6,E6))))</f>
        <v>4063.9798602688243</v>
      </c>
      <c r="S6" s="482">
        <f>SUM(IF(ISBLANK(D6),B6,D6)+(R18*(IF(ISBLANK(E6),C6,E6))))</f>
        <v>5767.3476577742304</v>
      </c>
      <c r="T6" s="120">
        <f>SUM(P6+Q6+R6+S6)*3</f>
        <v>44876.037946829601</v>
      </c>
      <c r="U6" s="123"/>
      <c r="V6" s="121">
        <f>SUM(IF(ISBLANK(D6),B6,D6)+(S18*(IF(ISBLANK(E6),C6,E6))))*12</f>
        <v>100918.52827611801</v>
      </c>
      <c r="W6" s="119">
        <f>SUM(IF(ISBLANK(D6),B6,D6)+(V18*(IF(ISBLANK(E6),C6,E6))))*12</f>
        <v>219447.66319214023</v>
      </c>
      <c r="X6" s="122">
        <f>SUM(IF(ISBLANK(D6),B6,D6)+(W18*(IF(ISBLANK(E6),C6,E6))))*12</f>
        <v>705643.65364951664</v>
      </c>
      <c r="Y6" s="123"/>
      <c r="Z6" s="568">
        <v>0</v>
      </c>
      <c r="AA6" s="606"/>
      <c r="AB6" s="480">
        <f t="shared" si="0"/>
        <v>0</v>
      </c>
      <c r="AC6" s="482">
        <f t="shared" si="1"/>
        <v>0</v>
      </c>
      <c r="AD6" s="482">
        <f t="shared" si="2"/>
        <v>0</v>
      </c>
      <c r="AE6" s="482">
        <f t="shared" ref="AE6:AE17" si="36">SUM(AB6:AD6)</f>
        <v>0</v>
      </c>
      <c r="AF6" s="124"/>
      <c r="AG6" s="480">
        <f t="shared" si="3"/>
        <v>100</v>
      </c>
      <c r="AH6" s="482">
        <f t="shared" si="4"/>
        <v>100</v>
      </c>
      <c r="AI6" s="482">
        <f t="shared" si="5"/>
        <v>100</v>
      </c>
      <c r="AJ6" s="482">
        <f t="shared" ref="AJ6:AJ17" si="37">SUM(AG6:AI6)</f>
        <v>300</v>
      </c>
      <c r="AK6" s="124"/>
      <c r="AL6" s="480">
        <f t="shared" si="6"/>
        <v>202.38028305815033</v>
      </c>
      <c r="AM6" s="482">
        <f t="shared" si="7"/>
        <v>202.38028305815033</v>
      </c>
      <c r="AN6" s="482">
        <f t="shared" si="8"/>
        <v>202.38028305815033</v>
      </c>
      <c r="AO6" s="482">
        <f t="shared" ref="AO6:AO17" si="38">SUM(AL6:AN6)</f>
        <v>607.14084917445098</v>
      </c>
      <c r="AP6" s="124"/>
      <c r="AQ6" s="480">
        <f t="shared" si="9"/>
        <v>495.09496432822505</v>
      </c>
      <c r="AR6" s="482">
        <f t="shared" si="10"/>
        <v>495.09496432822505</v>
      </c>
      <c r="AS6" s="482">
        <f t="shared" si="11"/>
        <v>495.09496432822505</v>
      </c>
      <c r="AT6" s="482">
        <f t="shared" ref="AT6:AT17" si="39">SUM(AQ6:AS6)</f>
        <v>1485.284892984675</v>
      </c>
      <c r="AU6" s="124"/>
      <c r="AV6" s="606"/>
      <c r="AW6" s="480">
        <f t="shared" si="12"/>
        <v>771.70004256191157</v>
      </c>
      <c r="AX6" s="482">
        <f t="shared" si="13"/>
        <v>771.70004256191157</v>
      </c>
      <c r="AY6" s="482">
        <f t="shared" si="14"/>
        <v>771.70004256191157</v>
      </c>
      <c r="AZ6" s="482">
        <f t="shared" ref="AZ6:AZ17" si="40">SUM(AW6:AY6)</f>
        <v>2315.1001276857346</v>
      </c>
      <c r="BA6" s="124"/>
      <c r="BB6" s="480">
        <f t="shared" si="15"/>
        <v>1019.7994593266724</v>
      </c>
      <c r="BC6" s="482">
        <f t="shared" si="16"/>
        <v>1019.7994593266724</v>
      </c>
      <c r="BD6" s="482">
        <f t="shared" si="17"/>
        <v>1019.7994593266724</v>
      </c>
      <c r="BE6" s="482">
        <f t="shared" ref="BE6:BE17" si="41">SUM(BB6:BD6)</f>
        <v>3059.3983779800174</v>
      </c>
      <c r="BF6" s="124"/>
      <c r="BG6" s="480">
        <f t="shared" si="18"/>
        <v>1321.7126857639325</v>
      </c>
      <c r="BH6" s="482">
        <f t="shared" si="19"/>
        <v>1321.7126857639325</v>
      </c>
      <c r="BI6" s="482">
        <f t="shared" si="20"/>
        <v>1321.7126857639325</v>
      </c>
      <c r="BJ6" s="482">
        <f t="shared" ref="BJ6:BJ17" si="42">SUM(BG6:BI6)</f>
        <v>3965.1380572917978</v>
      </c>
      <c r="BK6" s="124"/>
      <c r="BL6" s="480">
        <f t="shared" si="21"/>
        <v>1670.3653548724033</v>
      </c>
      <c r="BM6" s="482">
        <f t="shared" si="22"/>
        <v>1670.3653548724033</v>
      </c>
      <c r="BN6" s="482">
        <f t="shared" si="23"/>
        <v>1670.3653548724033</v>
      </c>
      <c r="BO6" s="482">
        <f t="shared" ref="BO6:BO8" si="43">SUM(BL6:BN6)</f>
        <v>5011.0960646172098</v>
      </c>
      <c r="BP6" s="124"/>
      <c r="BQ6" s="123"/>
      <c r="BR6" s="480">
        <f t="shared" si="24"/>
        <v>2185.778859278892</v>
      </c>
      <c r="BS6" s="482">
        <f t="shared" si="25"/>
        <v>2185.778859278892</v>
      </c>
      <c r="BT6" s="482">
        <f t="shared" si="26"/>
        <v>2185.778859278892</v>
      </c>
      <c r="BU6" s="482">
        <f t="shared" ref="BU6:BU8" si="44">SUM(BR6:BT6)</f>
        <v>6557.336577836676</v>
      </c>
      <c r="BV6" s="124"/>
      <c r="BW6" s="480">
        <f t="shared" si="27"/>
        <v>2941.5729382879213</v>
      </c>
      <c r="BX6" s="482">
        <f t="shared" si="28"/>
        <v>2941.5729382879213</v>
      </c>
      <c r="BY6" s="482">
        <f t="shared" si="29"/>
        <v>2941.5729382879213</v>
      </c>
      <c r="BZ6" s="482">
        <f t="shared" ref="BZ6:BZ8" si="45">SUM(BW6:BY6)</f>
        <v>8824.7188148637633</v>
      </c>
      <c r="CA6" s="124"/>
      <c r="CB6" s="480">
        <f t="shared" si="30"/>
        <v>4063.9798602688243</v>
      </c>
      <c r="CC6" s="482">
        <f t="shared" si="31"/>
        <v>4063.9798602688243</v>
      </c>
      <c r="CD6" s="482">
        <f t="shared" si="32"/>
        <v>4063.9798602688243</v>
      </c>
      <c r="CE6" s="482">
        <f t="shared" ref="CE6:CE7" si="46">SUM(CB6:CD6)</f>
        <v>12191.939580806473</v>
      </c>
      <c r="CF6" s="124"/>
      <c r="CG6" s="480">
        <f t="shared" si="33"/>
        <v>5767.3476577742304</v>
      </c>
      <c r="CH6" s="482">
        <f t="shared" si="34"/>
        <v>5767.3476577742304</v>
      </c>
      <c r="CI6" s="482">
        <f t="shared" si="35"/>
        <v>5767.3476577742304</v>
      </c>
      <c r="CJ6" s="482">
        <f t="shared" ref="CJ6:CJ8" si="47">SUM(CG6:CI6)</f>
        <v>17302.042973322692</v>
      </c>
      <c r="CK6" s="124"/>
    </row>
    <row r="7" spans="1:179" s="57" customFormat="1" ht="9.75" customHeight="1" x14ac:dyDescent="0.15">
      <c r="A7" s="468" t="s">
        <v>133</v>
      </c>
      <c r="B7" s="121">
        <v>0</v>
      </c>
      <c r="C7" s="285">
        <v>2E-3</v>
      </c>
      <c r="D7" s="129"/>
      <c r="E7" s="624"/>
      <c r="F7" s="127">
        <v>0</v>
      </c>
      <c r="G7" s="128">
        <v>0</v>
      </c>
      <c r="H7" s="128">
        <v>0</v>
      </c>
      <c r="I7" s="128">
        <v>0</v>
      </c>
      <c r="J7" s="119">
        <f>SUM((F7+G7+H7+I7)*3)</f>
        <v>0</v>
      </c>
      <c r="K7" s="482">
        <f>SUM(IF(ISBLANK(D7),B7,D7)+(I18*(IF(ISBLANK(E7),C7,E7))))</f>
        <v>67.170004256191149</v>
      </c>
      <c r="L7" s="482">
        <f>SUM(IF(ISBLANK(D7),B7,D7)+(K18*(IF(ISBLANK(E7),C7,E7))))</f>
        <v>91.979945932667235</v>
      </c>
      <c r="M7" s="482">
        <f>SUM(IF(ISBLANK(D7),B7,D7)+(L18*(IF(ISBLANK(E7),C7,E7))))</f>
        <v>122.17126857639326</v>
      </c>
      <c r="N7" s="482">
        <f>SUM(IF(ISBLANK(D7),B7,D7)+(M18*(IF(ISBLANK(E7),C7,E7))))</f>
        <v>157.03653548724034</v>
      </c>
      <c r="O7" s="119">
        <f>SUM(K7+L7+M7+N7)*3</f>
        <v>1315.073262757476</v>
      </c>
      <c r="P7" s="482">
        <f>SUM(IF(ISBLANK(D7),B7,D7)+(N18*(IF(ISBLANK(E7),C7,E7))))</f>
        <v>208.57788592788918</v>
      </c>
      <c r="Q7" s="482">
        <f>SUM(IF(ISBLANK(D7),B7,D7)+(P18*(IF(ISBLANK(E7),C7,E7))))</f>
        <v>284.15729382879209</v>
      </c>
      <c r="R7" s="482">
        <f>SUM(IF(ISBLANK(D7),B7,D7)+(Q18*(IF(ISBLANK(E7),C7,E7))))</f>
        <v>396.39798602688245</v>
      </c>
      <c r="S7" s="482">
        <f>SUM(IF(ISBLANK(D7),B7,D7)+(R18*(IF(ISBLANK(E7),C7,E7))))</f>
        <v>566.73476577742304</v>
      </c>
      <c r="T7" s="120">
        <f>SUM(P7+Q7+R7+S7)*3</f>
        <v>4367.6037946829601</v>
      </c>
      <c r="U7" s="123"/>
      <c r="V7" s="121">
        <f>SUM(IF(ISBLANK(D7),B7,D7)+(S18*(IF(ISBLANK(E7),C7,E7))))*12</f>
        <v>9971.8528276117995</v>
      </c>
      <c r="W7" s="119">
        <f>SUM(IF(ISBLANK(D7),B7,D7)+(V18*(IF(ISBLANK(E7),C7,E7))))*12</f>
        <v>21824.766319214021</v>
      </c>
      <c r="X7" s="122">
        <f>SUM(IF(ISBLANK(D7),B7,D7)+(W18*(IF(ISBLANK(E7),C7,E7))))*12</f>
        <v>70444.365364951664</v>
      </c>
      <c r="Y7" s="123"/>
      <c r="Z7" s="568">
        <v>0</v>
      </c>
      <c r="AA7" s="606"/>
      <c r="AB7" s="480">
        <f t="shared" si="0"/>
        <v>0</v>
      </c>
      <c r="AC7" s="482">
        <f t="shared" si="1"/>
        <v>0</v>
      </c>
      <c r="AD7" s="482">
        <f t="shared" si="2"/>
        <v>0</v>
      </c>
      <c r="AE7" s="482">
        <f t="shared" si="36"/>
        <v>0</v>
      </c>
      <c r="AF7" s="124"/>
      <c r="AG7" s="480">
        <f t="shared" si="3"/>
        <v>0</v>
      </c>
      <c r="AH7" s="482">
        <f t="shared" si="4"/>
        <v>0</v>
      </c>
      <c r="AI7" s="482">
        <f t="shared" si="5"/>
        <v>0</v>
      </c>
      <c r="AJ7" s="482">
        <f t="shared" si="37"/>
        <v>0</v>
      </c>
      <c r="AK7" s="124"/>
      <c r="AL7" s="480">
        <f t="shared" si="6"/>
        <v>0</v>
      </c>
      <c r="AM7" s="482">
        <f t="shared" si="7"/>
        <v>0</v>
      </c>
      <c r="AN7" s="482">
        <f t="shared" si="8"/>
        <v>0</v>
      </c>
      <c r="AO7" s="482">
        <f t="shared" si="38"/>
        <v>0</v>
      </c>
      <c r="AP7" s="124"/>
      <c r="AQ7" s="480">
        <f t="shared" si="9"/>
        <v>0</v>
      </c>
      <c r="AR7" s="482">
        <f t="shared" si="10"/>
        <v>0</v>
      </c>
      <c r="AS7" s="482">
        <f t="shared" si="11"/>
        <v>0</v>
      </c>
      <c r="AT7" s="482">
        <f t="shared" si="39"/>
        <v>0</v>
      </c>
      <c r="AU7" s="124"/>
      <c r="AV7" s="606"/>
      <c r="AW7" s="480">
        <f t="shared" si="12"/>
        <v>67.170004256191149</v>
      </c>
      <c r="AX7" s="482">
        <f t="shared" si="13"/>
        <v>67.170004256191149</v>
      </c>
      <c r="AY7" s="482">
        <f t="shared" si="14"/>
        <v>67.170004256191149</v>
      </c>
      <c r="AZ7" s="482">
        <f t="shared" si="40"/>
        <v>201.51001276857346</v>
      </c>
      <c r="BA7" s="124"/>
      <c r="BB7" s="480">
        <f t="shared" si="15"/>
        <v>91.979945932667235</v>
      </c>
      <c r="BC7" s="482">
        <f t="shared" si="16"/>
        <v>91.979945932667235</v>
      </c>
      <c r="BD7" s="482">
        <f t="shared" si="17"/>
        <v>91.979945932667235</v>
      </c>
      <c r="BE7" s="482">
        <f t="shared" si="41"/>
        <v>275.93983779800169</v>
      </c>
      <c r="BF7" s="124"/>
      <c r="BG7" s="480">
        <f t="shared" si="18"/>
        <v>122.17126857639326</v>
      </c>
      <c r="BH7" s="482">
        <f t="shared" si="19"/>
        <v>122.17126857639326</v>
      </c>
      <c r="BI7" s="482">
        <f t="shared" si="20"/>
        <v>122.17126857639326</v>
      </c>
      <c r="BJ7" s="482">
        <f t="shared" si="42"/>
        <v>366.51380572917981</v>
      </c>
      <c r="BK7" s="124"/>
      <c r="BL7" s="480">
        <f t="shared" si="21"/>
        <v>157.03653548724034</v>
      </c>
      <c r="BM7" s="482">
        <f t="shared" si="22"/>
        <v>157.03653548724034</v>
      </c>
      <c r="BN7" s="482">
        <f t="shared" si="23"/>
        <v>157.03653548724034</v>
      </c>
      <c r="BO7" s="482">
        <f t="shared" si="43"/>
        <v>471.109606461721</v>
      </c>
      <c r="BP7" s="124"/>
      <c r="BQ7" s="123"/>
      <c r="BR7" s="480">
        <f t="shared" si="24"/>
        <v>208.57788592788918</v>
      </c>
      <c r="BS7" s="482">
        <f t="shared" si="25"/>
        <v>208.57788592788918</v>
      </c>
      <c r="BT7" s="482">
        <f t="shared" si="26"/>
        <v>208.57788592788918</v>
      </c>
      <c r="BU7" s="482">
        <f t="shared" si="44"/>
        <v>625.73365778366758</v>
      </c>
      <c r="BV7" s="124"/>
      <c r="BW7" s="480">
        <f t="shared" si="27"/>
        <v>284.15729382879209</v>
      </c>
      <c r="BX7" s="482">
        <f t="shared" si="28"/>
        <v>284.15729382879209</v>
      </c>
      <c r="BY7" s="482">
        <f t="shared" si="29"/>
        <v>284.15729382879209</v>
      </c>
      <c r="BZ7" s="482">
        <f t="shared" si="45"/>
        <v>852.47188148637633</v>
      </c>
      <c r="CA7" s="124"/>
      <c r="CB7" s="480">
        <f t="shared" si="30"/>
        <v>396.39798602688245</v>
      </c>
      <c r="CC7" s="482">
        <f t="shared" si="31"/>
        <v>396.39798602688245</v>
      </c>
      <c r="CD7" s="482">
        <f t="shared" si="32"/>
        <v>396.39798602688245</v>
      </c>
      <c r="CE7" s="482">
        <f t="shared" si="46"/>
        <v>1189.1939580806475</v>
      </c>
      <c r="CF7" s="124"/>
      <c r="CG7" s="480">
        <f t="shared" si="33"/>
        <v>566.73476577742304</v>
      </c>
      <c r="CH7" s="482">
        <f t="shared" si="34"/>
        <v>566.73476577742304</v>
      </c>
      <c r="CI7" s="482">
        <f t="shared" si="35"/>
        <v>566.73476577742304</v>
      </c>
      <c r="CJ7" s="482">
        <f t="shared" si="47"/>
        <v>1700.2042973322691</v>
      </c>
      <c r="CK7" s="124"/>
    </row>
    <row r="8" spans="1:179" s="57" customFormat="1" ht="9.75" customHeight="1" thickBot="1" x14ac:dyDescent="0.2">
      <c r="A8" s="469" t="s">
        <v>134</v>
      </c>
      <c r="B8" s="130">
        <v>5000000</v>
      </c>
      <c r="C8" s="286">
        <v>100000000</v>
      </c>
      <c r="D8" s="132"/>
      <c r="E8" s="287"/>
      <c r="F8" s="508">
        <f>SUM(IF(((1-(Z18/(IF(ISBLANK(D8),B8,(IF(D8=0,9.99999999999999E+29,D8))))))*SUM(F4:F7))&lt;0,0,((1-(Z18/(IF(ISBLANK(D8),B8,(IF(D8=0,9.99999999999999E+29,D8))))))*SUM(F4:F7))))</f>
        <v>1699.49</v>
      </c>
      <c r="G8" s="509">
        <f>SUM(IF(((1-(F18/(IF(ISBLANK(D8),B8,(IF(D8=0,9.99999999999999E+29,D8))))))*SUM(G4:G7))&lt;0,0,((1-(F18/(IF(ISBLANK(D8),B8,(IF(D8=0,9.99999999999999E+29,D8))))))*SUM(G4:G7))))</f>
        <v>2299.0132015260306</v>
      </c>
      <c r="H8" s="509">
        <f>SUM(IF(((1-(G18/(IF(ISBLANK(D8),B8,(IF(D8=0,9.99999999999999E+29,D8))))))*SUM(H4:H7))&lt;0,0,((1-(G18/(IF(ISBLANK(D8),B8,(IF(D8=0,9.99999999999999E+29,D8))))))*SUM(H4:H7))))</f>
        <v>4830.7627991031413</v>
      </c>
      <c r="I8" s="509">
        <f>SUM(IF(((1-(H18/(IF(ISBLANK(D8),B8,(IF(D8=0,9.99999999999999E+29,D8))))))*SUM(I4:I7))&lt;0,0,((1-(H18/(IF(ISBLANK(D8),B8,(IF(D8=0,9.99999999999999E+29,D8))))))*SUM(I4:I7))))</f>
        <v>5089.9052364517738</v>
      </c>
      <c r="J8" s="510">
        <f t="shared" ref="J8" si="48">SUM(F8:I8)*3</f>
        <v>41757.513711242835</v>
      </c>
      <c r="K8" s="509">
        <f>SUM(IF(((1-(I18/(IF(ISBLANK(E8),C8,(IF(E8=0,9.99999999999999E+29,E8))))))*SUM(K4:K7))&lt;0,0,((1-(I18/(IF(ISBLANK(E8),C8,(IF(E8=0,9.99999999999999E+29,E8))))))*SUM(K4:K7))))</f>
        <v>5383.6359848077145</v>
      </c>
      <c r="L8" s="509">
        <f>SUM(IF(((1-(K18/(IF(ISBLANK(E8),C8,(IF(E8=0,9.99999999999999E+29,E8))))))*SUM(L4:L7))&lt;0,0,((1-(K18/(IF(ISBLANK(E8),C8,(IF(E8=0,9.99999999999999E+29,E8))))))*SUM(L4:L7))))</f>
        <v>6464.555992288193</v>
      </c>
      <c r="M8" s="509">
        <f>SUM(IF(((1-(L18/(IF(ISBLANK(E8),C8,(IF(E8=0,9.99999999999999E+29,E8))))))*SUM(M4:M7))&lt;0,0,((1-(L18/(IF(ISBLANK(E8),C8,(IF(E8=0,9.99999999999999E+29,E8))))))*SUM(M4:M7))))</f>
        <v>7085.5554751573236</v>
      </c>
      <c r="N8" s="509">
        <f>SUM(IF(((1-(M18/(IF(ISBLANK(E8),C8,(IF(E8=0,9.99999999999999E+29,E8))))))*SUM(N4:N7))&lt;0,0,((1-(M18/(IF(ISBLANK(E8),C8,(IF(E8=0,9.99999999999999E+29,E8))))))*SUM(N4:N7))))</f>
        <v>9465.3098996489844</v>
      </c>
      <c r="O8" s="510">
        <f t="shared" ref="O8" si="49">SUM(K8:N8)*3</f>
        <v>85197.172055706644</v>
      </c>
      <c r="P8" s="509">
        <f>SUM(IF(((1-(N18/(IF(ISBLANK(E8),C8,(IF(E8=0,9.99999999999999E+29,E8))))))*SUM(P4:P7))&lt;0,0,((1-(N18/(IF(ISBLANK(E8),C8,(IF(E8=0,9.99999999999999E+29,E8))))))*SUM(P4:P7))))</f>
        <v>12719.009102051459</v>
      </c>
      <c r="Q8" s="509">
        <f>SUM(IF(((1-(P18/(IF(ISBLANK(E8),C8,(IF(E8=0,9.99999999999999E+29,E8))))))*SUM(Q4:Q7))&lt;0,0,((1-(P18/(IF(ISBLANK(E8),C8,(IF(E8=0,9.99999999999999E+29,E8))))))*SUM(Q4:Q7))))</f>
        <v>17430.648173309015</v>
      </c>
      <c r="R8" s="509">
        <f>SUM(IF(((1-(Q18/(IF(ISBLANK(E8),C8,(IF(E8=0,9.99999999999999E+29,E8))))))*SUM(R4:R7))&lt;0,0,((1-(Q18/(IF(ISBLANK(E8),C8,(IF(E8=0,9.99999999999999E+29,E8))))))*SUM(R4:R7))))</f>
        <v>24559.229147721246</v>
      </c>
      <c r="S8" s="509">
        <f>SUM(IF(((1-(R18/(IF(ISBLANK(E8),C8,(IF(E8=0,9.99999999999999E+29,E8))))))*SUM(S4:S7))&lt;0,0,((1-(R18/(IF(ISBLANK(E8),C8,(IF(E8=0,9.99999999999999E+29,E8))))))*SUM(S4:S7))))</f>
        <v>35578.659180680443</v>
      </c>
      <c r="T8" s="511">
        <f t="shared" ref="T8" si="50">SUM(P8:S8)*3</f>
        <v>270862.6368112865</v>
      </c>
      <c r="U8" s="562"/>
      <c r="V8" s="638">
        <f>SUM(IF(((1-(T18/(IF(ISBLANK(E8),C8,(IF(E8=0,9.99999999999999E+29,E8))))))*SUM(V4:V7))&lt;0,0,((1-(T18/(IF(ISBLANK(E8),C8,(IF(E8=0,9.99999999999999E+29,E8))))))*SUM(V4:V7))))</f>
        <v>367996.30025557772</v>
      </c>
      <c r="W8" s="510">
        <f>SUM(IF(((1-(V18/(IF(ISBLANK(E8),C8,(IF(E8=0,9.99999999999999E+29,E8))))))*SUM(W4:W7))&lt;0,0,((1-(V18/(IF(ISBLANK(E8),C8,(IF(E8=0,9.99999999999999E+29,E8))))))*SUM(W4:W7))))</f>
        <v>1881806.6861054176</v>
      </c>
      <c r="X8" s="639">
        <f>SUM(IF(((1-(W18/(IF(ISBLANK(E8),C8,(IF(E8=0,9.99999999999999E+29,E8))))))*SUM(X4:X7))&lt;0,0,((1-(W18/(IF(ISBLANK(E8),C8,(IF(E8=0,9.99999999999999E+29,E8))))))*SUM(X4:X7))))</f>
        <v>2775417.787768031</v>
      </c>
      <c r="Y8" s="562"/>
      <c r="Z8" s="569">
        <f>SUM(Z4:Z7)</f>
        <v>2300</v>
      </c>
      <c r="AA8" s="607"/>
      <c r="AB8" s="508">
        <f t="shared" si="0"/>
        <v>1699.49</v>
      </c>
      <c r="AC8" s="509">
        <f t="shared" si="1"/>
        <v>1699.49</v>
      </c>
      <c r="AD8" s="509">
        <f t="shared" si="2"/>
        <v>1699.49</v>
      </c>
      <c r="AE8" s="509">
        <f t="shared" si="36"/>
        <v>5098.47</v>
      </c>
      <c r="AF8" s="133"/>
      <c r="AG8" s="508">
        <f t="shared" si="3"/>
        <v>2299.0132015260306</v>
      </c>
      <c r="AH8" s="509">
        <f t="shared" si="4"/>
        <v>2299.0132015260306</v>
      </c>
      <c r="AI8" s="509">
        <f t="shared" si="5"/>
        <v>2299.0132015260306</v>
      </c>
      <c r="AJ8" s="509">
        <f t="shared" si="37"/>
        <v>6897.0396045780917</v>
      </c>
      <c r="AK8" s="133"/>
      <c r="AL8" s="508">
        <f t="shared" si="6"/>
        <v>4830.7627991031413</v>
      </c>
      <c r="AM8" s="509">
        <f t="shared" si="7"/>
        <v>4830.7627991031413</v>
      </c>
      <c r="AN8" s="509">
        <f t="shared" si="8"/>
        <v>4830.7627991031413</v>
      </c>
      <c r="AO8" s="509">
        <f t="shared" si="38"/>
        <v>14492.288397309425</v>
      </c>
      <c r="AP8" s="133"/>
      <c r="AQ8" s="508">
        <f t="shared" si="9"/>
        <v>5089.9052364517738</v>
      </c>
      <c r="AR8" s="509">
        <f t="shared" si="10"/>
        <v>5089.9052364517738</v>
      </c>
      <c r="AS8" s="509">
        <f t="shared" si="11"/>
        <v>5089.9052364517738</v>
      </c>
      <c r="AT8" s="509">
        <f t="shared" si="39"/>
        <v>15269.715709355321</v>
      </c>
      <c r="AU8" s="133"/>
      <c r="AV8" s="607"/>
      <c r="AW8" s="508">
        <f t="shared" si="12"/>
        <v>5383.6359848077145</v>
      </c>
      <c r="AX8" s="509">
        <f t="shared" si="13"/>
        <v>5383.6359848077145</v>
      </c>
      <c r="AY8" s="509">
        <f t="shared" si="14"/>
        <v>5383.6359848077145</v>
      </c>
      <c r="AZ8" s="509">
        <f t="shared" si="40"/>
        <v>16150.907954423143</v>
      </c>
      <c r="BA8" s="133"/>
      <c r="BB8" s="508">
        <f t="shared" si="15"/>
        <v>6464.555992288193</v>
      </c>
      <c r="BC8" s="509">
        <f t="shared" si="16"/>
        <v>6464.555992288193</v>
      </c>
      <c r="BD8" s="509">
        <f t="shared" si="17"/>
        <v>6464.555992288193</v>
      </c>
      <c r="BE8" s="509">
        <f t="shared" si="41"/>
        <v>19393.667976864577</v>
      </c>
      <c r="BF8" s="133"/>
      <c r="BG8" s="508">
        <f t="shared" si="18"/>
        <v>7085.5554751573236</v>
      </c>
      <c r="BH8" s="509">
        <f t="shared" si="19"/>
        <v>7085.5554751573236</v>
      </c>
      <c r="BI8" s="509">
        <f t="shared" si="20"/>
        <v>7085.5554751573236</v>
      </c>
      <c r="BJ8" s="509">
        <f t="shared" si="42"/>
        <v>21256.666425471973</v>
      </c>
      <c r="BK8" s="133"/>
      <c r="BL8" s="508">
        <f t="shared" si="21"/>
        <v>9465.3098996489844</v>
      </c>
      <c r="BM8" s="509">
        <f t="shared" si="22"/>
        <v>9465.3098996489844</v>
      </c>
      <c r="BN8" s="509">
        <f t="shared" si="23"/>
        <v>9465.3098996489844</v>
      </c>
      <c r="BO8" s="509">
        <f t="shared" si="43"/>
        <v>28395.929698946951</v>
      </c>
      <c r="BP8" s="133"/>
      <c r="BQ8" s="562"/>
      <c r="BR8" s="508">
        <f t="shared" si="24"/>
        <v>12719.009102051459</v>
      </c>
      <c r="BS8" s="509">
        <f t="shared" si="25"/>
        <v>12719.009102051459</v>
      </c>
      <c r="BT8" s="509">
        <f t="shared" si="26"/>
        <v>12719.009102051459</v>
      </c>
      <c r="BU8" s="509">
        <f t="shared" si="44"/>
        <v>38157.027306154378</v>
      </c>
      <c r="BV8" s="133"/>
      <c r="BW8" s="508">
        <f t="shared" si="27"/>
        <v>17430.648173309015</v>
      </c>
      <c r="BX8" s="509">
        <f t="shared" si="28"/>
        <v>17430.648173309015</v>
      </c>
      <c r="BY8" s="509">
        <f t="shared" si="29"/>
        <v>17430.648173309015</v>
      </c>
      <c r="BZ8" s="509">
        <f t="shared" si="45"/>
        <v>52291.944519927041</v>
      </c>
      <c r="CA8" s="133"/>
      <c r="CB8" s="508">
        <f t="shared" si="30"/>
        <v>24559.229147721246</v>
      </c>
      <c r="CC8" s="509">
        <f t="shared" si="31"/>
        <v>24559.229147721246</v>
      </c>
      <c r="CD8" s="509">
        <f t="shared" si="32"/>
        <v>24559.229147721246</v>
      </c>
      <c r="CE8" s="509">
        <f>SUM(CB8:CD8)</f>
        <v>73677.687443163741</v>
      </c>
      <c r="CF8" s="133"/>
      <c r="CG8" s="508">
        <f t="shared" si="33"/>
        <v>35578.659180680443</v>
      </c>
      <c r="CH8" s="509">
        <f t="shared" si="34"/>
        <v>35578.659180680443</v>
      </c>
      <c r="CI8" s="509">
        <f t="shared" si="35"/>
        <v>35578.659180680443</v>
      </c>
      <c r="CJ8" s="509">
        <f t="shared" si="47"/>
        <v>106735.97754204134</v>
      </c>
      <c r="CK8" s="133"/>
      <c r="CL8" s="134"/>
    </row>
    <row r="9" spans="1:179" s="144" customFormat="1" ht="9.75" customHeight="1" x14ac:dyDescent="0.15">
      <c r="A9" s="470" t="s">
        <v>135</v>
      </c>
      <c r="B9" s="288">
        <v>4.4999999999999998E-2</v>
      </c>
      <c r="C9" s="136">
        <v>-2E-3</v>
      </c>
      <c r="D9" s="625"/>
      <c r="E9" s="289"/>
      <c r="F9" s="137">
        <v>0.01</v>
      </c>
      <c r="G9" s="138">
        <v>0.03</v>
      </c>
      <c r="H9" s="483">
        <f>SUM(IF((0*(IF(ISBLANK(E9),C9,E9)))+(IF(ISBLANK(D9),B9,D9)) &lt; 0, 0, (0*(IF(ISBLANK(E9),C9,E9)))+(IF(ISBLANK(D9),B9,D9))))</f>
        <v>4.4999999999999998E-2</v>
      </c>
      <c r="I9" s="483">
        <f>SUM(IF((1*(IF(ISBLANK(E9),C9,E9)))+(IF(ISBLANK(D9),B9,D9)) &lt; 0, 0, (1*(IF(ISBLANK(E9),C9,E9)))+(IF(ISBLANK(D9),B9,D9))))</f>
        <v>4.2999999999999997E-2</v>
      </c>
      <c r="J9" s="139">
        <f>SUM(((1+F9)*(1+F9)*(1+F9)*(1+G9)*(1+G9)*(1+G9)*(1+H9)*(1+H9)*(1+H9)*(1+I9)*(1+I9)*(1+I9))-1)</f>
        <v>0.45773167979860929</v>
      </c>
      <c r="K9" s="483">
        <f>SUM(IF((2*(IF(ISBLANK(E9),C9,E9)))+(IF(ISBLANK(D9),B9,D9)) &lt; 0, 0, (2*(IF(ISBLANK(E9),C9,E9)))+(IF(ISBLANK(D9),B9,D9))))</f>
        <v>4.0999999999999995E-2</v>
      </c>
      <c r="L9" s="483">
        <f>SUM(IF((3*(IF(ISBLANK(E9),C9,E9)))+(IF(ISBLANK(D9),B9,D9)) &lt; 0, 0, (3*(IF(ISBLANK(E9),C9,E9)))+(IF(ISBLANK(D9),B9,D9))))</f>
        <v>3.9E-2</v>
      </c>
      <c r="M9" s="483">
        <f>SUM(IF((4*(IF(ISBLANK(E9),C9,E9)))+(IF(ISBLANK(D9),B9,D9)) &lt; 0, 0, (4*(IF(ISBLANK(E9),C9,E9)))+(IF(ISBLANK(D9),B9,D9))))</f>
        <v>3.6999999999999998E-2</v>
      </c>
      <c r="N9" s="483">
        <f>SUM(IF((5*(IF(ISBLANK(E9),C9,E9)))+(IF(ISBLANK(D9),B9,D9)) &lt; 0, 0, (5*(IF(ISBLANK(E9),C9,E9)))+(IF(ISBLANK(D9),B9,D9))))</f>
        <v>3.4999999999999996E-2</v>
      </c>
      <c r="O9" s="139">
        <f>SUM(((1+K9)*(1+K9)*(1+K9)*(1+L9)*(1+L9)*(1+L9)*(1+M9)*(1+M9)*(1+M9)*(1+N9)*(1+N9)*(1+N9))-1)</f>
        <v>0.56443005123105694</v>
      </c>
      <c r="P9" s="483">
        <f>SUM(IF((6*(IF(ISBLANK(E9),C9,E9)))+(IF(ISBLANK(D9),B9,D9)) &lt; 0, 0, (6*(IF(ISBLANK(E9),C9,E9)))+(IF(ISBLANK(D9),B9,D9))))</f>
        <v>3.3000000000000002E-2</v>
      </c>
      <c r="Q9" s="483">
        <f>SUM(IF((7*(IF(ISBLANK(E9),C9,E9)))+(IF(ISBLANK(D9),B9,D9)) &lt; 0, 0, (7*(IF(ISBLANK(E9),C9,E9)))+(IF(ISBLANK(D9),B9,D9))))</f>
        <v>3.1E-2</v>
      </c>
      <c r="R9" s="483">
        <f>SUM(IF((8*(IF(ISBLANK(E9),C9,E9)))+(IF(ISBLANK(D9),B9,D9)) &lt; 0, 0, (8*(IF(ISBLANK(E9),C9,E9)))+(IF(ISBLANK(D9),B9,D9))))</f>
        <v>2.8999999999999998E-2</v>
      </c>
      <c r="S9" s="483">
        <f>SUM(IF((9*(IF(ISBLANK(E9),C9,E9)))+(IF(ISBLANK(D9),B9,D9)) &lt; 0, 0, (9*(IF(ISBLANK(E9),C9,E9)))+(IF(ISBLANK(D9),B9,D9))))</f>
        <v>2.6999999999999996E-2</v>
      </c>
      <c r="T9" s="136">
        <f>SUM(((1+P9)*(1+P9)*(1+P9)*(1+Q9)*(1+Q9)*(1+Q9)*(1+R9)*(1+R9)*(1+R9)*(1+S9)*(1+S9)*(1+S9))-1)</f>
        <v>0.42572056976902894</v>
      </c>
      <c r="U9" s="290"/>
      <c r="V9" s="141">
        <f>SUM(IF((12*(IF(ISBLANK(E9),C9,E9)))+(IF(ISBLANK(D9),B9,D9)) &lt; 0, 0, (12*(IF(ISBLANK(E9),C9,E9)))+(IF(ISBLANK(D9),B9,D9))))*12</f>
        <v>0.252</v>
      </c>
      <c r="W9" s="139">
        <f>SUM(IF((15*(IF(ISBLANK(E9),C9,E9)))+(IF(ISBLANK(D9),B9,D9)) &lt; 0, 0, (15*(IF(ISBLANK(E9),C9,E9)))+(IF(ISBLANK(D9),B9,D9))))*12</f>
        <v>0.18</v>
      </c>
      <c r="X9" s="140">
        <f>SUM(IF((18*(IF(ISBLANK(E9),C9,E9)))+(IF(ISBLANK(D9),B9,D9)) &lt; 0, 0, (18*(IF(ISBLANK(E9),C9,E9)))+(IF(ISBLANK(D9),B9,D9))))*12</f>
        <v>0.10799999999999993</v>
      </c>
      <c r="Y9" s="142"/>
      <c r="Z9" s="570">
        <v>0</v>
      </c>
      <c r="AA9" s="608"/>
      <c r="AB9" s="588">
        <f t="shared" si="0"/>
        <v>0.01</v>
      </c>
      <c r="AC9" s="483">
        <f t="shared" si="1"/>
        <v>0.01</v>
      </c>
      <c r="AD9" s="483">
        <f t="shared" si="2"/>
        <v>0.01</v>
      </c>
      <c r="AE9" s="483">
        <f t="shared" si="36"/>
        <v>0.03</v>
      </c>
      <c r="AF9" s="143"/>
      <c r="AG9" s="588">
        <f t="shared" si="3"/>
        <v>0.03</v>
      </c>
      <c r="AH9" s="483">
        <f t="shared" si="4"/>
        <v>0.03</v>
      </c>
      <c r="AI9" s="483">
        <f t="shared" si="5"/>
        <v>0.03</v>
      </c>
      <c r="AJ9" s="483">
        <f t="shared" si="37"/>
        <v>0.09</v>
      </c>
      <c r="AK9" s="143"/>
      <c r="AL9" s="588">
        <f t="shared" si="6"/>
        <v>4.4999999999999998E-2</v>
      </c>
      <c r="AM9" s="483">
        <f t="shared" si="7"/>
        <v>4.4999999999999998E-2</v>
      </c>
      <c r="AN9" s="483">
        <f t="shared" si="8"/>
        <v>4.4999999999999998E-2</v>
      </c>
      <c r="AO9" s="483">
        <f t="shared" si="38"/>
        <v>0.13500000000000001</v>
      </c>
      <c r="AP9" s="143"/>
      <c r="AQ9" s="588">
        <f t="shared" si="9"/>
        <v>4.2999999999999997E-2</v>
      </c>
      <c r="AR9" s="483">
        <f t="shared" si="10"/>
        <v>4.2999999999999997E-2</v>
      </c>
      <c r="AS9" s="483">
        <f t="shared" si="11"/>
        <v>4.2999999999999997E-2</v>
      </c>
      <c r="AT9" s="483">
        <f t="shared" si="39"/>
        <v>0.129</v>
      </c>
      <c r="AU9" s="143"/>
      <c r="AV9" s="608"/>
      <c r="AW9" s="588">
        <f t="shared" si="12"/>
        <v>4.0999999999999995E-2</v>
      </c>
      <c r="AX9" s="483">
        <f t="shared" si="13"/>
        <v>4.0999999999999995E-2</v>
      </c>
      <c r="AY9" s="483">
        <f t="shared" si="14"/>
        <v>4.0999999999999995E-2</v>
      </c>
      <c r="AZ9" s="483">
        <f t="shared" si="40"/>
        <v>0.12299999999999998</v>
      </c>
      <c r="BA9" s="143"/>
      <c r="BB9" s="588">
        <f t="shared" si="15"/>
        <v>3.9E-2</v>
      </c>
      <c r="BC9" s="483">
        <f t="shared" si="16"/>
        <v>3.9E-2</v>
      </c>
      <c r="BD9" s="483">
        <f t="shared" si="17"/>
        <v>3.9E-2</v>
      </c>
      <c r="BE9" s="483">
        <f t="shared" si="41"/>
        <v>0.11699999999999999</v>
      </c>
      <c r="BF9" s="143"/>
      <c r="BG9" s="588">
        <f t="shared" si="18"/>
        <v>3.6999999999999998E-2</v>
      </c>
      <c r="BH9" s="483">
        <f t="shared" si="19"/>
        <v>3.6999999999999998E-2</v>
      </c>
      <c r="BI9" s="483">
        <f t="shared" si="20"/>
        <v>3.6999999999999998E-2</v>
      </c>
      <c r="BJ9" s="483">
        <f t="shared" si="42"/>
        <v>0.11099999999999999</v>
      </c>
      <c r="BK9" s="143"/>
      <c r="BL9" s="588">
        <f t="shared" si="21"/>
        <v>3.4999999999999996E-2</v>
      </c>
      <c r="BM9" s="483">
        <f t="shared" si="22"/>
        <v>3.4999999999999996E-2</v>
      </c>
      <c r="BN9" s="483">
        <f t="shared" si="23"/>
        <v>3.4999999999999996E-2</v>
      </c>
      <c r="BO9" s="483">
        <f t="shared" ref="BO9:BO15" si="51">SUM((BL9+BM9+BN9))</f>
        <v>0.10499999999999998</v>
      </c>
      <c r="BP9" s="143"/>
      <c r="BQ9" s="290"/>
      <c r="BR9" s="588">
        <f t="shared" si="24"/>
        <v>3.3000000000000002E-2</v>
      </c>
      <c r="BS9" s="483">
        <f t="shared" si="25"/>
        <v>3.3000000000000002E-2</v>
      </c>
      <c r="BT9" s="483">
        <f t="shared" si="26"/>
        <v>3.3000000000000002E-2</v>
      </c>
      <c r="BU9" s="483">
        <f t="shared" ref="BU9:BU15" si="52">SUM((BR9+BS9+BT9))</f>
        <v>9.9000000000000005E-2</v>
      </c>
      <c r="BV9" s="143"/>
      <c r="BW9" s="588">
        <f t="shared" si="27"/>
        <v>3.1E-2</v>
      </c>
      <c r="BX9" s="483">
        <f t="shared" si="28"/>
        <v>3.1E-2</v>
      </c>
      <c r="BY9" s="483">
        <f t="shared" si="29"/>
        <v>3.1E-2</v>
      </c>
      <c r="BZ9" s="483">
        <f t="shared" ref="BZ9:BZ15" si="53">SUM((BW9+BX9+BY9))</f>
        <v>9.2999999999999999E-2</v>
      </c>
      <c r="CA9" s="143"/>
      <c r="CB9" s="588">
        <f t="shared" si="30"/>
        <v>2.8999999999999998E-2</v>
      </c>
      <c r="CC9" s="483">
        <f t="shared" si="31"/>
        <v>2.8999999999999998E-2</v>
      </c>
      <c r="CD9" s="483">
        <f t="shared" si="32"/>
        <v>2.8999999999999998E-2</v>
      </c>
      <c r="CE9" s="483">
        <f t="shared" ref="CE9:CE16" si="54">SUM((CB9+CC9+CD9))</f>
        <v>8.6999999999999994E-2</v>
      </c>
      <c r="CF9" s="143"/>
      <c r="CG9" s="588">
        <f t="shared" si="33"/>
        <v>2.6999999999999996E-2</v>
      </c>
      <c r="CH9" s="483">
        <f t="shared" si="34"/>
        <v>2.6999999999999996E-2</v>
      </c>
      <c r="CI9" s="483">
        <f t="shared" si="35"/>
        <v>2.6999999999999996E-2</v>
      </c>
      <c r="CJ9" s="483">
        <f t="shared" ref="CJ9:CJ16" si="55">SUM((CG9+CH9+CI9))</f>
        <v>8.0999999999999989E-2</v>
      </c>
      <c r="CK9" s="143"/>
    </row>
    <row r="10" spans="1:179" s="144" customFormat="1" ht="9.75" customHeight="1" x14ac:dyDescent="0.15">
      <c r="A10" s="472" t="s">
        <v>136</v>
      </c>
      <c r="B10" s="167">
        <v>5.5E-2</v>
      </c>
      <c r="C10" s="126">
        <v>-5.0000000000000001E-3</v>
      </c>
      <c r="D10" s="626"/>
      <c r="E10" s="292"/>
      <c r="F10" s="146">
        <v>0</v>
      </c>
      <c r="G10" s="147">
        <v>0.02</v>
      </c>
      <c r="H10" s="484">
        <f t="shared" ref="H10:H13" si="56">SUM(IF((0*(IF(ISBLANK(E10),C10,E10)))+(IF(ISBLANK(D10),B10,D10)) &lt; 0, 0, (0*(IF(ISBLANK(E10),C10,E10)))+(IF(ISBLANK(D10),B10,D10))))</f>
        <v>5.5E-2</v>
      </c>
      <c r="I10" s="484">
        <f t="shared" ref="I10:I13" si="57">SUM(IF((1*(IF(ISBLANK(E10),C10,E10)))+(IF(ISBLANK(D10),B10,D10)) &lt; 0, 0, (1*(IF(ISBLANK(E10),C10,E10)))+(IF(ISBLANK(D10),B10,D10))))</f>
        <v>0.05</v>
      </c>
      <c r="J10" s="148">
        <f t="shared" ref="J10:J13" si="58">SUM(((1+F10)*(1+F10)*(1+F10)*(1+G10)*(1+G10)*(1+G10)*(1+H10)*(1+H10)*(1+H10)*(1+I10)*(1+I10)*(1+I10))-1)</f>
        <v>0.4425331140938924</v>
      </c>
      <c r="K10" s="484">
        <f t="shared" ref="K10:K13" si="59">SUM(IF((2*(IF(ISBLANK(E10),C10,E10)))+(IF(ISBLANK(D10),B10,D10)) &lt; 0, 0, (2*(IF(ISBLANK(E10),C10,E10)))+(IF(ISBLANK(D10),B10,D10))))</f>
        <v>4.4999999999999998E-2</v>
      </c>
      <c r="L10" s="484">
        <f t="shared" ref="L10:L13" si="60">SUM(IF((3*(IF(ISBLANK(E10),C10,E10)))+(IF(ISBLANK(D10),B10,D10)) &lt; 0, 0, (3*(IF(ISBLANK(E10),C10,E10)))+(IF(ISBLANK(D10),B10,D10))))</f>
        <v>0.04</v>
      </c>
      <c r="M10" s="484">
        <f t="shared" ref="M10:M13" si="61">SUM(IF((4*(IF(ISBLANK(E10),C10,E10)))+(IF(ISBLANK(D10),B10,D10)) &lt; 0, 0, (4*(IF(ISBLANK(E10),C10,E10)))+(IF(ISBLANK(D10),B10,D10))))</f>
        <v>3.5000000000000003E-2</v>
      </c>
      <c r="N10" s="484">
        <f t="shared" ref="N10:N13" si="62">SUM(IF((5*(IF(ISBLANK(E10),C10,E10)))+(IF(ISBLANK(D10),B10,D10)) &lt; 0, 0, (5*(IF(ISBLANK(E10),C10,E10)))+(IF(ISBLANK(D10),B10,D10))))</f>
        <v>0.03</v>
      </c>
      <c r="O10" s="148">
        <f t="shared" ref="O10:O15" si="63">SUM(((1+K10)*(1+K10)*(1+K10)*(1+L10)*(1+L10)*(1+L10)*(1+M10)*(1+M10)*(1+M10)*(1+N10)*(1+N10)*(1+N10))-1)</f>
        <v>0.55518340278072742</v>
      </c>
      <c r="P10" s="484">
        <f t="shared" ref="P10:P13" si="64">SUM(IF((6*(IF(ISBLANK(E10),C10,E10)))+(IF(ISBLANK(D10),B10,D10)) &lt; 0, 0, (6*(IF(ISBLANK(E10),C10,E10)))+(IF(ISBLANK(D10),B10,D10))))</f>
        <v>2.5000000000000001E-2</v>
      </c>
      <c r="Q10" s="484">
        <f t="shared" ref="Q10:Q13" si="65">SUM(IF((7*(IF(ISBLANK(E10),C10,E10)))+(IF(ISBLANK(D10),B10,D10)) &lt; 0, 0, (7*(IF(ISBLANK(E10),C10,E10)))+(IF(ISBLANK(D10),B10,D10))))</f>
        <v>1.9999999999999997E-2</v>
      </c>
      <c r="R10" s="484">
        <f t="shared" ref="R10:R13" si="66">SUM(IF((8*(IF(ISBLANK(E10),C10,E10)))+(IF(ISBLANK(D10),B10,D10)) &lt; 0, 0, (8*(IF(ISBLANK(E10),C10,E10)))+(IF(ISBLANK(D10),B10,D10))))</f>
        <v>1.4999999999999999E-2</v>
      </c>
      <c r="S10" s="484">
        <f t="shared" ref="S10:S13" si="67">SUM(IF((9*(IF(ISBLANK(E10),C10,E10)))+(IF(ISBLANK(D10),B10,D10)) &lt; 0, 0, (9*(IF(ISBLANK(E10),C10,E10)))+(IF(ISBLANK(D10),B10,D10))))</f>
        <v>1.0000000000000002E-2</v>
      </c>
      <c r="T10" s="126">
        <f t="shared" ref="T10:T15" si="68">SUM(((1+P10)*(1+P10)*(1+P10)*(1+Q10)*(1+Q10)*(1+Q10)*(1+R10)*(1+R10)*(1+R10)*(1+S10)*(1+S10)*(1+S10))-1)</f>
        <v>0.23121630877759247</v>
      </c>
      <c r="U10" s="293"/>
      <c r="V10" s="150">
        <f>SUM(IF((12*(IF(ISBLANK(E10),C10,E10)))+(IF(ISBLANK(D10),B10,D10)) &lt; 0, 0, (12*(IF(ISBLANK(E10),C10,E10)))+(IF(ISBLANK(D10),B10,D10))))*12</f>
        <v>0</v>
      </c>
      <c r="W10" s="148">
        <f>SUM(IF((15*(IF(ISBLANK(E10),C10,E10)))+(IF(ISBLANK(D10),B10,D10)) &lt; 0, 0, (15*(IF(ISBLANK(E10),C10,E10)))+(IF(ISBLANK(D10),B10,D10))))*12</f>
        <v>0</v>
      </c>
      <c r="X10" s="149">
        <f>SUM(IF((18*(IF(ISBLANK(E10),C10,E10)))+(IF(ISBLANK(D10),B10,D10)) &lt; 0, 0, (18*(IF(ISBLANK(E10),C10,E10)))+(IF(ISBLANK(D10),B10,D10))))*12</f>
        <v>0</v>
      </c>
      <c r="Y10" s="151"/>
      <c r="Z10" s="571">
        <v>0</v>
      </c>
      <c r="AA10" s="609"/>
      <c r="AB10" s="589">
        <f t="shared" si="0"/>
        <v>0</v>
      </c>
      <c r="AC10" s="484">
        <f t="shared" si="1"/>
        <v>0</v>
      </c>
      <c r="AD10" s="484">
        <f t="shared" si="2"/>
        <v>0</v>
      </c>
      <c r="AE10" s="484">
        <f t="shared" si="36"/>
        <v>0</v>
      </c>
      <c r="AF10" s="152"/>
      <c r="AG10" s="589">
        <f t="shared" si="3"/>
        <v>0.02</v>
      </c>
      <c r="AH10" s="484">
        <f t="shared" si="4"/>
        <v>0.02</v>
      </c>
      <c r="AI10" s="484">
        <f t="shared" si="5"/>
        <v>0.02</v>
      </c>
      <c r="AJ10" s="484">
        <f t="shared" si="37"/>
        <v>0.06</v>
      </c>
      <c r="AK10" s="152"/>
      <c r="AL10" s="589">
        <f t="shared" si="6"/>
        <v>5.5E-2</v>
      </c>
      <c r="AM10" s="484">
        <f t="shared" si="7"/>
        <v>5.5E-2</v>
      </c>
      <c r="AN10" s="484">
        <f t="shared" si="8"/>
        <v>5.5E-2</v>
      </c>
      <c r="AO10" s="484">
        <f t="shared" si="38"/>
        <v>0.16500000000000001</v>
      </c>
      <c r="AP10" s="152"/>
      <c r="AQ10" s="589">
        <f t="shared" si="9"/>
        <v>0.05</v>
      </c>
      <c r="AR10" s="484">
        <f t="shared" si="10"/>
        <v>0.05</v>
      </c>
      <c r="AS10" s="484">
        <f t="shared" si="11"/>
        <v>0.05</v>
      </c>
      <c r="AT10" s="484">
        <f t="shared" si="39"/>
        <v>0.15000000000000002</v>
      </c>
      <c r="AU10" s="152"/>
      <c r="AV10" s="609"/>
      <c r="AW10" s="589">
        <f t="shared" si="12"/>
        <v>4.4999999999999998E-2</v>
      </c>
      <c r="AX10" s="484">
        <f t="shared" si="13"/>
        <v>4.4999999999999998E-2</v>
      </c>
      <c r="AY10" s="484">
        <f t="shared" si="14"/>
        <v>4.4999999999999998E-2</v>
      </c>
      <c r="AZ10" s="484">
        <f t="shared" si="40"/>
        <v>0.13500000000000001</v>
      </c>
      <c r="BA10" s="152"/>
      <c r="BB10" s="589">
        <f t="shared" si="15"/>
        <v>0.04</v>
      </c>
      <c r="BC10" s="484">
        <f t="shared" si="16"/>
        <v>0.04</v>
      </c>
      <c r="BD10" s="484">
        <f t="shared" si="17"/>
        <v>0.04</v>
      </c>
      <c r="BE10" s="484">
        <f t="shared" si="41"/>
        <v>0.12</v>
      </c>
      <c r="BF10" s="152"/>
      <c r="BG10" s="589">
        <f t="shared" si="18"/>
        <v>3.5000000000000003E-2</v>
      </c>
      <c r="BH10" s="484">
        <f t="shared" si="19"/>
        <v>3.5000000000000003E-2</v>
      </c>
      <c r="BI10" s="484">
        <f t="shared" si="20"/>
        <v>3.5000000000000003E-2</v>
      </c>
      <c r="BJ10" s="484">
        <f t="shared" si="42"/>
        <v>0.10500000000000001</v>
      </c>
      <c r="BK10" s="152"/>
      <c r="BL10" s="589">
        <f t="shared" si="21"/>
        <v>0.03</v>
      </c>
      <c r="BM10" s="484">
        <f t="shared" si="22"/>
        <v>0.03</v>
      </c>
      <c r="BN10" s="484">
        <f t="shared" si="23"/>
        <v>0.03</v>
      </c>
      <c r="BO10" s="484">
        <f t="shared" si="51"/>
        <v>0.09</v>
      </c>
      <c r="BP10" s="152"/>
      <c r="BQ10" s="293"/>
      <c r="BR10" s="589">
        <f t="shared" si="24"/>
        <v>2.5000000000000001E-2</v>
      </c>
      <c r="BS10" s="484">
        <f t="shared" si="25"/>
        <v>2.5000000000000001E-2</v>
      </c>
      <c r="BT10" s="484">
        <f t="shared" si="26"/>
        <v>2.5000000000000001E-2</v>
      </c>
      <c r="BU10" s="484">
        <f t="shared" si="52"/>
        <v>7.5000000000000011E-2</v>
      </c>
      <c r="BV10" s="152"/>
      <c r="BW10" s="589">
        <f t="shared" si="27"/>
        <v>1.9999999999999997E-2</v>
      </c>
      <c r="BX10" s="484">
        <f t="shared" si="28"/>
        <v>1.9999999999999997E-2</v>
      </c>
      <c r="BY10" s="484">
        <f t="shared" si="29"/>
        <v>1.9999999999999997E-2</v>
      </c>
      <c r="BZ10" s="484">
        <f t="shared" si="53"/>
        <v>5.9999999999999991E-2</v>
      </c>
      <c r="CA10" s="152"/>
      <c r="CB10" s="589">
        <f t="shared" si="30"/>
        <v>1.4999999999999999E-2</v>
      </c>
      <c r="CC10" s="484">
        <f t="shared" si="31"/>
        <v>1.4999999999999999E-2</v>
      </c>
      <c r="CD10" s="484">
        <f t="shared" si="32"/>
        <v>1.4999999999999999E-2</v>
      </c>
      <c r="CE10" s="484">
        <f t="shared" si="54"/>
        <v>4.4999999999999998E-2</v>
      </c>
      <c r="CF10" s="152"/>
      <c r="CG10" s="589">
        <f t="shared" si="33"/>
        <v>1.0000000000000002E-2</v>
      </c>
      <c r="CH10" s="484">
        <f t="shared" si="34"/>
        <v>1.0000000000000002E-2</v>
      </c>
      <c r="CI10" s="484">
        <f t="shared" si="35"/>
        <v>1.0000000000000002E-2</v>
      </c>
      <c r="CJ10" s="484">
        <f t="shared" si="55"/>
        <v>3.0000000000000006E-2</v>
      </c>
      <c r="CK10" s="152"/>
    </row>
    <row r="11" spans="1:179" s="144" customFormat="1" ht="9.75" customHeight="1" x14ac:dyDescent="0.15">
      <c r="A11" s="472" t="s">
        <v>138</v>
      </c>
      <c r="B11" s="167">
        <v>4.4999999999999998E-2</v>
      </c>
      <c r="C11" s="126">
        <v>-2E-3</v>
      </c>
      <c r="D11" s="626"/>
      <c r="E11" s="292"/>
      <c r="F11" s="146">
        <v>0</v>
      </c>
      <c r="G11" s="147">
        <v>0.02</v>
      </c>
      <c r="H11" s="484">
        <f t="shared" si="56"/>
        <v>4.4999999999999998E-2</v>
      </c>
      <c r="I11" s="484">
        <f t="shared" si="57"/>
        <v>4.2999999999999997E-2</v>
      </c>
      <c r="J11" s="148">
        <f t="shared" si="58"/>
        <v>0.3740492895542562</v>
      </c>
      <c r="K11" s="484">
        <f t="shared" si="59"/>
        <v>4.0999999999999995E-2</v>
      </c>
      <c r="L11" s="484">
        <f t="shared" si="60"/>
        <v>3.9E-2</v>
      </c>
      <c r="M11" s="484">
        <f t="shared" si="61"/>
        <v>3.6999999999999998E-2</v>
      </c>
      <c r="N11" s="484">
        <f t="shared" si="62"/>
        <v>3.4999999999999996E-2</v>
      </c>
      <c r="O11" s="148">
        <f t="shared" si="63"/>
        <v>0.56443005123105694</v>
      </c>
      <c r="P11" s="484">
        <f t="shared" si="64"/>
        <v>3.3000000000000002E-2</v>
      </c>
      <c r="Q11" s="484">
        <f t="shared" si="65"/>
        <v>3.1E-2</v>
      </c>
      <c r="R11" s="484">
        <f t="shared" si="66"/>
        <v>2.8999999999999998E-2</v>
      </c>
      <c r="S11" s="484">
        <f t="shared" si="67"/>
        <v>2.6999999999999996E-2</v>
      </c>
      <c r="T11" s="126">
        <f t="shared" si="68"/>
        <v>0.42572056976902894</v>
      </c>
      <c r="U11" s="293"/>
      <c r="V11" s="150">
        <f>SUM(IF((12*(IF(ISBLANK(E11),C11,E11)))+(IF(ISBLANK(D11),B11,D11)) &lt; 0, 0, (12*(IF(ISBLANK(E11),C11,E11)))+(IF(ISBLANK(D11),B11,D11))))*12</f>
        <v>0.252</v>
      </c>
      <c r="W11" s="148">
        <f>SUM(IF((15*(IF(ISBLANK(E11),C11,E11)))+(IF(ISBLANK(D11),B11,D11)) &lt; 0, 0, (15*(IF(ISBLANK(E11),C11,E11)))+(IF(ISBLANK(D11),B11,D11))))*12</f>
        <v>0.18</v>
      </c>
      <c r="X11" s="149">
        <f>SUM(IF((18*(IF(ISBLANK(E11),C11,E11)))+(IF(ISBLANK(D11),B11,D11)) &lt; 0, 0, (18*(IF(ISBLANK(E11),C11,E11)))+(IF(ISBLANK(D11),B11,D11))))*12</f>
        <v>0.10799999999999993</v>
      </c>
      <c r="Y11" s="151"/>
      <c r="Z11" s="571">
        <v>0</v>
      </c>
      <c r="AA11" s="609"/>
      <c r="AB11" s="589">
        <f t="shared" si="0"/>
        <v>0</v>
      </c>
      <c r="AC11" s="484">
        <f t="shared" si="1"/>
        <v>0</v>
      </c>
      <c r="AD11" s="484">
        <f t="shared" si="2"/>
        <v>0</v>
      </c>
      <c r="AE11" s="484">
        <f t="shared" si="36"/>
        <v>0</v>
      </c>
      <c r="AF11" s="152"/>
      <c r="AG11" s="589">
        <f t="shared" si="3"/>
        <v>0.02</v>
      </c>
      <c r="AH11" s="484">
        <f t="shared" si="4"/>
        <v>0.02</v>
      </c>
      <c r="AI11" s="484">
        <f t="shared" si="5"/>
        <v>0.02</v>
      </c>
      <c r="AJ11" s="484">
        <f t="shared" si="37"/>
        <v>0.06</v>
      </c>
      <c r="AK11" s="152"/>
      <c r="AL11" s="589">
        <f t="shared" si="6"/>
        <v>4.4999999999999998E-2</v>
      </c>
      <c r="AM11" s="484">
        <f t="shared" si="7"/>
        <v>4.4999999999999998E-2</v>
      </c>
      <c r="AN11" s="484">
        <f t="shared" si="8"/>
        <v>4.4999999999999998E-2</v>
      </c>
      <c r="AO11" s="484">
        <f t="shared" si="38"/>
        <v>0.13500000000000001</v>
      </c>
      <c r="AP11" s="152"/>
      <c r="AQ11" s="589">
        <f t="shared" si="9"/>
        <v>4.2999999999999997E-2</v>
      </c>
      <c r="AR11" s="484">
        <f t="shared" si="10"/>
        <v>4.2999999999999997E-2</v>
      </c>
      <c r="AS11" s="484">
        <f t="shared" si="11"/>
        <v>4.2999999999999997E-2</v>
      </c>
      <c r="AT11" s="484">
        <f t="shared" si="39"/>
        <v>0.129</v>
      </c>
      <c r="AU11" s="152"/>
      <c r="AV11" s="609"/>
      <c r="AW11" s="589">
        <f t="shared" si="12"/>
        <v>4.0999999999999995E-2</v>
      </c>
      <c r="AX11" s="484">
        <f t="shared" si="13"/>
        <v>4.0999999999999995E-2</v>
      </c>
      <c r="AY11" s="484">
        <f t="shared" si="14"/>
        <v>4.0999999999999995E-2</v>
      </c>
      <c r="AZ11" s="484">
        <f t="shared" si="40"/>
        <v>0.12299999999999998</v>
      </c>
      <c r="BA11" s="152"/>
      <c r="BB11" s="589">
        <f t="shared" si="15"/>
        <v>3.9E-2</v>
      </c>
      <c r="BC11" s="484">
        <f t="shared" si="16"/>
        <v>3.9E-2</v>
      </c>
      <c r="BD11" s="484">
        <f t="shared" si="17"/>
        <v>3.9E-2</v>
      </c>
      <c r="BE11" s="484">
        <f t="shared" si="41"/>
        <v>0.11699999999999999</v>
      </c>
      <c r="BF11" s="152"/>
      <c r="BG11" s="589">
        <f t="shared" si="18"/>
        <v>3.6999999999999998E-2</v>
      </c>
      <c r="BH11" s="484">
        <f t="shared" si="19"/>
        <v>3.6999999999999998E-2</v>
      </c>
      <c r="BI11" s="484">
        <f t="shared" si="20"/>
        <v>3.6999999999999998E-2</v>
      </c>
      <c r="BJ11" s="484">
        <f t="shared" si="42"/>
        <v>0.11099999999999999</v>
      </c>
      <c r="BK11" s="152"/>
      <c r="BL11" s="589">
        <f t="shared" si="21"/>
        <v>3.4999999999999996E-2</v>
      </c>
      <c r="BM11" s="484">
        <f t="shared" si="22"/>
        <v>3.4999999999999996E-2</v>
      </c>
      <c r="BN11" s="484">
        <f t="shared" si="23"/>
        <v>3.4999999999999996E-2</v>
      </c>
      <c r="BO11" s="484">
        <f t="shared" si="51"/>
        <v>0.10499999999999998</v>
      </c>
      <c r="BP11" s="152"/>
      <c r="BQ11" s="293"/>
      <c r="BR11" s="589">
        <f t="shared" si="24"/>
        <v>3.3000000000000002E-2</v>
      </c>
      <c r="BS11" s="484">
        <f t="shared" si="25"/>
        <v>3.3000000000000002E-2</v>
      </c>
      <c r="BT11" s="484">
        <f t="shared" si="26"/>
        <v>3.3000000000000002E-2</v>
      </c>
      <c r="BU11" s="484">
        <f t="shared" si="52"/>
        <v>9.9000000000000005E-2</v>
      </c>
      <c r="BV11" s="152"/>
      <c r="BW11" s="589">
        <f t="shared" si="27"/>
        <v>3.1E-2</v>
      </c>
      <c r="BX11" s="484">
        <f t="shared" si="28"/>
        <v>3.1E-2</v>
      </c>
      <c r="BY11" s="484">
        <f t="shared" si="29"/>
        <v>3.1E-2</v>
      </c>
      <c r="BZ11" s="484">
        <f t="shared" si="53"/>
        <v>9.2999999999999999E-2</v>
      </c>
      <c r="CA11" s="152"/>
      <c r="CB11" s="589">
        <f t="shared" si="30"/>
        <v>2.8999999999999998E-2</v>
      </c>
      <c r="CC11" s="484">
        <f t="shared" si="31"/>
        <v>2.8999999999999998E-2</v>
      </c>
      <c r="CD11" s="484">
        <f t="shared" si="32"/>
        <v>2.8999999999999998E-2</v>
      </c>
      <c r="CE11" s="484">
        <f t="shared" si="54"/>
        <v>8.6999999999999994E-2</v>
      </c>
      <c r="CF11" s="152"/>
      <c r="CG11" s="589">
        <f t="shared" si="33"/>
        <v>2.6999999999999996E-2</v>
      </c>
      <c r="CH11" s="484">
        <f t="shared" si="34"/>
        <v>2.6999999999999996E-2</v>
      </c>
      <c r="CI11" s="484">
        <f t="shared" si="35"/>
        <v>2.6999999999999996E-2</v>
      </c>
      <c r="CJ11" s="484">
        <f t="shared" si="55"/>
        <v>8.0999999999999989E-2</v>
      </c>
      <c r="CK11" s="152"/>
    </row>
    <row r="12" spans="1:179" s="144" customFormat="1" ht="9.75" customHeight="1" x14ac:dyDescent="0.15">
      <c r="A12" s="472" t="s">
        <v>137</v>
      </c>
      <c r="B12" s="167">
        <v>0.04</v>
      </c>
      <c r="C12" s="126">
        <v>-1.7999999999999999E-2</v>
      </c>
      <c r="D12" s="291"/>
      <c r="E12" s="292"/>
      <c r="F12" s="146">
        <v>0</v>
      </c>
      <c r="G12" s="147">
        <v>0.05</v>
      </c>
      <c r="H12" s="484">
        <f t="shared" si="56"/>
        <v>0.04</v>
      </c>
      <c r="I12" s="484">
        <f t="shared" si="57"/>
        <v>2.2000000000000002E-2</v>
      </c>
      <c r="J12" s="148">
        <f t="shared" si="58"/>
        <v>0.39001857076046242</v>
      </c>
      <c r="K12" s="484">
        <f t="shared" si="59"/>
        <v>4.0000000000000036E-3</v>
      </c>
      <c r="L12" s="484">
        <f t="shared" si="60"/>
        <v>0</v>
      </c>
      <c r="M12" s="484">
        <f t="shared" si="61"/>
        <v>0</v>
      </c>
      <c r="N12" s="484">
        <f t="shared" si="62"/>
        <v>0</v>
      </c>
      <c r="O12" s="148">
        <f t="shared" si="63"/>
        <v>1.2048064000000025E-2</v>
      </c>
      <c r="P12" s="484">
        <f t="shared" si="64"/>
        <v>0</v>
      </c>
      <c r="Q12" s="484">
        <f t="shared" si="65"/>
        <v>0</v>
      </c>
      <c r="R12" s="484">
        <f t="shared" si="66"/>
        <v>0</v>
      </c>
      <c r="S12" s="484">
        <f t="shared" si="67"/>
        <v>0</v>
      </c>
      <c r="T12" s="126">
        <f t="shared" si="68"/>
        <v>0</v>
      </c>
      <c r="U12" s="293"/>
      <c r="V12" s="150">
        <f>SUM(IF((12*(IF(ISBLANK(E12),C12,E12)))+(IF(ISBLANK(D12),B12,D12)) &lt; 0, 0, (12*(IF(ISBLANK(E12),C12,E12)))+(IF(ISBLANK(D12),B12,D12))))*12</f>
        <v>0</v>
      </c>
      <c r="W12" s="148">
        <f>SUM(IF((15*(IF(ISBLANK(E12),C12,E12)))+(IF(ISBLANK(D12),B12,D12)) &lt; 0, 0, (15*(IF(ISBLANK(E12),C12,E12)))+(IF(ISBLANK(D12),B12,D12))))*12</f>
        <v>0</v>
      </c>
      <c r="X12" s="149">
        <f>SUM(IF((18*(IF(ISBLANK(E12),C12,E12)))+(IF(ISBLANK(D12),B12,D12)) &lt; 0, 0, (18*(IF(ISBLANK(E12),C12,E12)))+(IF(ISBLANK(D12),B12,D12))))*12</f>
        <v>0</v>
      </c>
      <c r="Y12" s="151"/>
      <c r="Z12" s="571">
        <v>0</v>
      </c>
      <c r="AA12" s="609"/>
      <c r="AB12" s="589">
        <f t="shared" si="0"/>
        <v>0</v>
      </c>
      <c r="AC12" s="484">
        <f t="shared" si="1"/>
        <v>0</v>
      </c>
      <c r="AD12" s="484">
        <f t="shared" si="2"/>
        <v>0</v>
      </c>
      <c r="AE12" s="484">
        <f t="shared" si="36"/>
        <v>0</v>
      </c>
      <c r="AF12" s="152"/>
      <c r="AG12" s="589">
        <f t="shared" si="3"/>
        <v>0.05</v>
      </c>
      <c r="AH12" s="484">
        <f t="shared" si="4"/>
        <v>0.05</v>
      </c>
      <c r="AI12" s="484">
        <f t="shared" si="5"/>
        <v>0.05</v>
      </c>
      <c r="AJ12" s="484">
        <f t="shared" si="37"/>
        <v>0.15000000000000002</v>
      </c>
      <c r="AK12" s="152"/>
      <c r="AL12" s="589">
        <f t="shared" si="6"/>
        <v>0.04</v>
      </c>
      <c r="AM12" s="484">
        <f t="shared" si="7"/>
        <v>0.04</v>
      </c>
      <c r="AN12" s="484">
        <f t="shared" si="8"/>
        <v>0.04</v>
      </c>
      <c r="AO12" s="484">
        <f t="shared" si="38"/>
        <v>0.12</v>
      </c>
      <c r="AP12" s="152"/>
      <c r="AQ12" s="589">
        <f t="shared" si="9"/>
        <v>2.2000000000000002E-2</v>
      </c>
      <c r="AR12" s="484">
        <f t="shared" si="10"/>
        <v>2.2000000000000002E-2</v>
      </c>
      <c r="AS12" s="484">
        <f t="shared" si="11"/>
        <v>2.2000000000000002E-2</v>
      </c>
      <c r="AT12" s="484">
        <f t="shared" si="39"/>
        <v>6.6000000000000003E-2</v>
      </c>
      <c r="AU12" s="152"/>
      <c r="AV12" s="609"/>
      <c r="AW12" s="589">
        <f t="shared" si="12"/>
        <v>4.0000000000000036E-3</v>
      </c>
      <c r="AX12" s="484">
        <f t="shared" si="13"/>
        <v>4.0000000000000036E-3</v>
      </c>
      <c r="AY12" s="484">
        <f t="shared" si="14"/>
        <v>4.0000000000000036E-3</v>
      </c>
      <c r="AZ12" s="484">
        <f t="shared" si="40"/>
        <v>1.2000000000000011E-2</v>
      </c>
      <c r="BA12" s="152"/>
      <c r="BB12" s="589">
        <f t="shared" si="15"/>
        <v>0</v>
      </c>
      <c r="BC12" s="484">
        <f t="shared" si="16"/>
        <v>0</v>
      </c>
      <c r="BD12" s="484">
        <f t="shared" si="17"/>
        <v>0</v>
      </c>
      <c r="BE12" s="484">
        <f t="shared" si="41"/>
        <v>0</v>
      </c>
      <c r="BF12" s="152"/>
      <c r="BG12" s="589">
        <f t="shared" si="18"/>
        <v>0</v>
      </c>
      <c r="BH12" s="484">
        <f t="shared" si="19"/>
        <v>0</v>
      </c>
      <c r="BI12" s="484">
        <f t="shared" si="20"/>
        <v>0</v>
      </c>
      <c r="BJ12" s="484">
        <f t="shared" si="42"/>
        <v>0</v>
      </c>
      <c r="BK12" s="152"/>
      <c r="BL12" s="589">
        <f t="shared" si="21"/>
        <v>0</v>
      </c>
      <c r="BM12" s="484">
        <f t="shared" si="22"/>
        <v>0</v>
      </c>
      <c r="BN12" s="484">
        <f t="shared" si="23"/>
        <v>0</v>
      </c>
      <c r="BO12" s="484">
        <f t="shared" si="51"/>
        <v>0</v>
      </c>
      <c r="BP12" s="152"/>
      <c r="BQ12" s="293"/>
      <c r="BR12" s="589">
        <f t="shared" si="24"/>
        <v>0</v>
      </c>
      <c r="BS12" s="484">
        <f t="shared" si="25"/>
        <v>0</v>
      </c>
      <c r="BT12" s="484">
        <f t="shared" si="26"/>
        <v>0</v>
      </c>
      <c r="BU12" s="484">
        <f t="shared" si="52"/>
        <v>0</v>
      </c>
      <c r="BV12" s="152"/>
      <c r="BW12" s="589">
        <f t="shared" si="27"/>
        <v>0</v>
      </c>
      <c r="BX12" s="484">
        <f t="shared" si="28"/>
        <v>0</v>
      </c>
      <c r="BY12" s="484">
        <f t="shared" si="29"/>
        <v>0</v>
      </c>
      <c r="BZ12" s="484">
        <f t="shared" si="53"/>
        <v>0</v>
      </c>
      <c r="CA12" s="152"/>
      <c r="CB12" s="589">
        <f t="shared" si="30"/>
        <v>0</v>
      </c>
      <c r="CC12" s="484">
        <f t="shared" si="31"/>
        <v>0</v>
      </c>
      <c r="CD12" s="484">
        <f t="shared" si="32"/>
        <v>0</v>
      </c>
      <c r="CE12" s="484">
        <f t="shared" si="54"/>
        <v>0</v>
      </c>
      <c r="CF12" s="152"/>
      <c r="CG12" s="589">
        <f t="shared" si="33"/>
        <v>0</v>
      </c>
      <c r="CH12" s="484">
        <f t="shared" si="34"/>
        <v>0</v>
      </c>
      <c r="CI12" s="484">
        <f t="shared" si="35"/>
        <v>0</v>
      </c>
      <c r="CJ12" s="484">
        <f t="shared" si="55"/>
        <v>0</v>
      </c>
      <c r="CK12" s="152"/>
      <c r="CL12" s="153"/>
      <c r="CM12" s="153"/>
      <c r="CN12" s="153"/>
      <c r="CO12" s="153"/>
      <c r="CP12" s="153"/>
      <c r="CQ12" s="153"/>
      <c r="CR12" s="153"/>
      <c r="CS12" s="153"/>
      <c r="CT12" s="153"/>
      <c r="CU12" s="153"/>
      <c r="CV12" s="153"/>
      <c r="CW12" s="153"/>
      <c r="CX12" s="153"/>
      <c r="CY12" s="153"/>
      <c r="CZ12" s="153"/>
      <c r="DA12" s="153"/>
      <c r="DB12" s="153"/>
      <c r="DC12" s="153"/>
      <c r="DD12" s="153"/>
      <c r="DE12" s="153"/>
      <c r="DF12" s="153"/>
      <c r="DG12" s="153"/>
      <c r="DH12" s="153"/>
      <c r="DI12" s="153"/>
      <c r="DJ12" s="153"/>
      <c r="DK12" s="153"/>
      <c r="DL12" s="153"/>
      <c r="DM12" s="153"/>
      <c r="DN12" s="153"/>
      <c r="DO12" s="153"/>
      <c r="DP12" s="153"/>
      <c r="DQ12" s="153"/>
      <c r="DR12" s="153"/>
      <c r="DS12" s="153"/>
      <c r="DT12" s="153"/>
      <c r="DU12" s="153"/>
      <c r="DV12" s="153"/>
      <c r="DW12" s="153"/>
      <c r="DX12" s="153"/>
      <c r="DY12" s="153"/>
      <c r="DZ12" s="153"/>
      <c r="EA12" s="153"/>
      <c r="EB12" s="153"/>
      <c r="EC12" s="153"/>
      <c r="ED12" s="153"/>
      <c r="EE12" s="153"/>
      <c r="EF12" s="153"/>
      <c r="EG12" s="153"/>
      <c r="EH12" s="153"/>
      <c r="EI12" s="153"/>
      <c r="EJ12" s="153"/>
      <c r="EK12" s="153"/>
      <c r="EL12" s="153"/>
      <c r="EM12" s="153"/>
      <c r="EN12" s="153"/>
      <c r="EO12" s="153"/>
      <c r="EP12" s="153"/>
      <c r="EQ12" s="153"/>
      <c r="ER12" s="153"/>
      <c r="ES12" s="153"/>
      <c r="ET12" s="153"/>
      <c r="EU12" s="153"/>
      <c r="EV12" s="153"/>
      <c r="EW12" s="153"/>
      <c r="EX12" s="153"/>
      <c r="EY12" s="153"/>
      <c r="EZ12" s="153"/>
      <c r="FA12" s="153"/>
      <c r="FB12" s="153"/>
      <c r="FC12" s="153"/>
      <c r="FD12" s="153"/>
      <c r="FE12" s="153"/>
      <c r="FF12" s="153"/>
      <c r="FG12" s="153"/>
      <c r="FH12" s="153"/>
      <c r="FI12" s="153"/>
      <c r="FJ12" s="153"/>
      <c r="FK12" s="153"/>
      <c r="FL12" s="153"/>
      <c r="FM12" s="153"/>
      <c r="FN12" s="153"/>
      <c r="FO12" s="153"/>
      <c r="FP12" s="153"/>
      <c r="FQ12" s="153"/>
      <c r="FR12" s="153"/>
      <c r="FS12" s="153"/>
      <c r="FT12" s="153"/>
      <c r="FU12" s="153"/>
      <c r="FV12" s="153"/>
      <c r="FW12" s="153"/>
    </row>
    <row r="13" spans="1:179" s="144" customFormat="1" ht="9.75" customHeight="1" thickBot="1" x14ac:dyDescent="0.2">
      <c r="A13" s="512" t="s">
        <v>139</v>
      </c>
      <c r="B13" s="294">
        <v>0.02</v>
      </c>
      <c r="C13" s="155">
        <v>-1.4999999999999999E-2</v>
      </c>
      <c r="D13" s="627"/>
      <c r="E13" s="295"/>
      <c r="F13" s="156">
        <v>0</v>
      </c>
      <c r="G13" s="157">
        <v>0</v>
      </c>
      <c r="H13" s="485">
        <f t="shared" si="56"/>
        <v>0.02</v>
      </c>
      <c r="I13" s="485">
        <f t="shared" si="57"/>
        <v>5.000000000000001E-3</v>
      </c>
      <c r="J13" s="158">
        <f t="shared" si="58"/>
        <v>7.720584325099944E-2</v>
      </c>
      <c r="K13" s="485">
        <f t="shared" si="59"/>
        <v>0</v>
      </c>
      <c r="L13" s="485">
        <f t="shared" si="60"/>
        <v>0</v>
      </c>
      <c r="M13" s="485">
        <f t="shared" si="61"/>
        <v>0</v>
      </c>
      <c r="N13" s="485">
        <f t="shared" si="62"/>
        <v>0</v>
      </c>
      <c r="O13" s="158">
        <f t="shared" si="63"/>
        <v>0</v>
      </c>
      <c r="P13" s="485">
        <f t="shared" si="64"/>
        <v>0</v>
      </c>
      <c r="Q13" s="485">
        <f t="shared" si="65"/>
        <v>0</v>
      </c>
      <c r="R13" s="485">
        <f t="shared" si="66"/>
        <v>0</v>
      </c>
      <c r="S13" s="485">
        <f t="shared" si="67"/>
        <v>0</v>
      </c>
      <c r="T13" s="155">
        <f t="shared" si="68"/>
        <v>0</v>
      </c>
      <c r="U13" s="296"/>
      <c r="V13" s="160">
        <f>SUM(IF((12*(IF(ISBLANK(E13),C13,E13)))+(IF(ISBLANK(D13),B13,D13)) &lt; 0, 0, (12*(IF(ISBLANK(E13),C13,E13)))+(IF(ISBLANK(D13),B13,D13))))*12</f>
        <v>0</v>
      </c>
      <c r="W13" s="158">
        <f>SUM(IF((15*(IF(ISBLANK(E13),C13,E13)))+(IF(ISBLANK(D13),B13,D13)) &lt; 0, 0, (15*(IF(ISBLANK(E13),C13,E13)))+(IF(ISBLANK(D13),B13,D13))))*12</f>
        <v>0</v>
      </c>
      <c r="X13" s="159">
        <f>SUM(IF((18*(IF(ISBLANK(E13),C13,E13)))+(IF(ISBLANK(D13),B13,D13)) &lt; 0, 0, (18*(IF(ISBLANK(E13),C13,E13)))+(IF(ISBLANK(D13),B13,D13))))*12</f>
        <v>0</v>
      </c>
      <c r="Y13" s="161"/>
      <c r="Z13" s="572">
        <v>0</v>
      </c>
      <c r="AA13" s="610"/>
      <c r="AB13" s="590">
        <f t="shared" si="0"/>
        <v>0</v>
      </c>
      <c r="AC13" s="485">
        <f t="shared" si="1"/>
        <v>0</v>
      </c>
      <c r="AD13" s="485">
        <f t="shared" si="2"/>
        <v>0</v>
      </c>
      <c r="AE13" s="485">
        <f t="shared" si="36"/>
        <v>0</v>
      </c>
      <c r="AF13" s="162"/>
      <c r="AG13" s="590">
        <f t="shared" si="3"/>
        <v>0</v>
      </c>
      <c r="AH13" s="485">
        <f t="shared" si="4"/>
        <v>0</v>
      </c>
      <c r="AI13" s="485">
        <f t="shared" si="5"/>
        <v>0</v>
      </c>
      <c r="AJ13" s="485">
        <f t="shared" si="37"/>
        <v>0</v>
      </c>
      <c r="AK13" s="162"/>
      <c r="AL13" s="590">
        <f t="shared" si="6"/>
        <v>0.02</v>
      </c>
      <c r="AM13" s="485">
        <f t="shared" si="7"/>
        <v>0.02</v>
      </c>
      <c r="AN13" s="485">
        <f t="shared" si="8"/>
        <v>0.02</v>
      </c>
      <c r="AO13" s="485">
        <f t="shared" si="38"/>
        <v>0.06</v>
      </c>
      <c r="AP13" s="162"/>
      <c r="AQ13" s="590">
        <f t="shared" si="9"/>
        <v>5.000000000000001E-3</v>
      </c>
      <c r="AR13" s="485">
        <f t="shared" si="10"/>
        <v>5.000000000000001E-3</v>
      </c>
      <c r="AS13" s="485">
        <f t="shared" si="11"/>
        <v>5.000000000000001E-3</v>
      </c>
      <c r="AT13" s="485">
        <f t="shared" si="39"/>
        <v>1.5000000000000003E-2</v>
      </c>
      <c r="AU13" s="162"/>
      <c r="AV13" s="610"/>
      <c r="AW13" s="590">
        <f t="shared" si="12"/>
        <v>0</v>
      </c>
      <c r="AX13" s="485">
        <f t="shared" si="13"/>
        <v>0</v>
      </c>
      <c r="AY13" s="485">
        <f t="shared" si="14"/>
        <v>0</v>
      </c>
      <c r="AZ13" s="485">
        <f t="shared" si="40"/>
        <v>0</v>
      </c>
      <c r="BA13" s="162"/>
      <c r="BB13" s="590">
        <f t="shared" si="15"/>
        <v>0</v>
      </c>
      <c r="BC13" s="485">
        <f t="shared" si="16"/>
        <v>0</v>
      </c>
      <c r="BD13" s="485">
        <f t="shared" si="17"/>
        <v>0</v>
      </c>
      <c r="BE13" s="485">
        <f t="shared" si="41"/>
        <v>0</v>
      </c>
      <c r="BF13" s="162"/>
      <c r="BG13" s="590">
        <f t="shared" si="18"/>
        <v>0</v>
      </c>
      <c r="BH13" s="485">
        <f t="shared" si="19"/>
        <v>0</v>
      </c>
      <c r="BI13" s="485">
        <f t="shared" si="20"/>
        <v>0</v>
      </c>
      <c r="BJ13" s="485">
        <f t="shared" si="42"/>
        <v>0</v>
      </c>
      <c r="BK13" s="162"/>
      <c r="BL13" s="590">
        <f t="shared" si="21"/>
        <v>0</v>
      </c>
      <c r="BM13" s="485">
        <f t="shared" si="22"/>
        <v>0</v>
      </c>
      <c r="BN13" s="485">
        <f t="shared" si="23"/>
        <v>0</v>
      </c>
      <c r="BO13" s="485">
        <f t="shared" si="51"/>
        <v>0</v>
      </c>
      <c r="BP13" s="162"/>
      <c r="BQ13" s="296"/>
      <c r="BR13" s="590">
        <f t="shared" si="24"/>
        <v>0</v>
      </c>
      <c r="BS13" s="485">
        <f t="shared" si="25"/>
        <v>0</v>
      </c>
      <c r="BT13" s="485">
        <f t="shared" si="26"/>
        <v>0</v>
      </c>
      <c r="BU13" s="485">
        <f t="shared" si="52"/>
        <v>0</v>
      </c>
      <c r="BV13" s="162"/>
      <c r="BW13" s="590">
        <f t="shared" si="27"/>
        <v>0</v>
      </c>
      <c r="BX13" s="485">
        <f t="shared" si="28"/>
        <v>0</v>
      </c>
      <c r="BY13" s="485">
        <f t="shared" si="29"/>
        <v>0</v>
      </c>
      <c r="BZ13" s="485">
        <f t="shared" si="53"/>
        <v>0</v>
      </c>
      <c r="CA13" s="162"/>
      <c r="CB13" s="590">
        <f t="shared" si="30"/>
        <v>0</v>
      </c>
      <c r="CC13" s="485">
        <f t="shared" si="31"/>
        <v>0</v>
      </c>
      <c r="CD13" s="485">
        <f t="shared" si="32"/>
        <v>0</v>
      </c>
      <c r="CE13" s="485">
        <f t="shared" si="54"/>
        <v>0</v>
      </c>
      <c r="CF13" s="162"/>
      <c r="CG13" s="590">
        <f t="shared" si="33"/>
        <v>0</v>
      </c>
      <c r="CH13" s="485">
        <f t="shared" si="34"/>
        <v>0</v>
      </c>
      <c r="CI13" s="485">
        <f t="shared" si="35"/>
        <v>0</v>
      </c>
      <c r="CJ13" s="485">
        <f t="shared" si="55"/>
        <v>0</v>
      </c>
      <c r="CK13" s="162"/>
      <c r="CL13" s="153"/>
      <c r="CM13" s="153"/>
      <c r="CN13" s="153"/>
      <c r="CO13" s="153"/>
      <c r="CP13" s="153"/>
      <c r="CQ13" s="153"/>
      <c r="CR13" s="153"/>
      <c r="CS13" s="153"/>
      <c r="CT13" s="153"/>
      <c r="CU13" s="153"/>
      <c r="CV13" s="153"/>
      <c r="CW13" s="153"/>
      <c r="CX13" s="153"/>
      <c r="CY13" s="153"/>
      <c r="CZ13" s="153"/>
      <c r="DA13" s="153"/>
      <c r="DB13" s="153"/>
      <c r="DC13" s="153"/>
      <c r="DD13" s="153"/>
      <c r="DE13" s="153"/>
      <c r="DF13" s="153"/>
      <c r="DG13" s="153"/>
      <c r="DH13" s="153"/>
      <c r="DI13" s="153"/>
      <c r="DJ13" s="153"/>
      <c r="DK13" s="153"/>
      <c r="DL13" s="153"/>
      <c r="DM13" s="153"/>
      <c r="DN13" s="153"/>
      <c r="DO13" s="153"/>
      <c r="DP13" s="153"/>
      <c r="DQ13" s="153"/>
      <c r="DR13" s="153"/>
      <c r="DS13" s="153"/>
      <c r="DT13" s="153"/>
      <c r="DU13" s="153"/>
      <c r="DV13" s="153"/>
      <c r="DW13" s="153"/>
      <c r="DX13" s="153"/>
      <c r="DY13" s="153"/>
      <c r="DZ13" s="153"/>
      <c r="EA13" s="153"/>
      <c r="EB13" s="153"/>
      <c r="EC13" s="153"/>
      <c r="ED13" s="153"/>
      <c r="EE13" s="153"/>
      <c r="EF13" s="153"/>
      <c r="EG13" s="153"/>
      <c r="EH13" s="153"/>
      <c r="EI13" s="153"/>
      <c r="EJ13" s="153"/>
      <c r="EK13" s="153"/>
      <c r="EL13" s="153"/>
      <c r="EM13" s="153"/>
      <c r="EN13" s="153"/>
      <c r="EO13" s="153"/>
      <c r="EP13" s="153"/>
      <c r="EQ13" s="153"/>
      <c r="ER13" s="153"/>
      <c r="ES13" s="153"/>
      <c r="ET13" s="153"/>
      <c r="EU13" s="153"/>
      <c r="EV13" s="153"/>
      <c r="EW13" s="153"/>
      <c r="EX13" s="153"/>
      <c r="EY13" s="153"/>
      <c r="EZ13" s="153"/>
      <c r="FA13" s="153"/>
      <c r="FB13" s="153"/>
      <c r="FC13" s="153"/>
      <c r="FD13" s="153"/>
      <c r="FE13" s="153"/>
      <c r="FF13" s="153"/>
      <c r="FG13" s="153"/>
      <c r="FH13" s="153"/>
      <c r="FI13" s="153"/>
      <c r="FJ13" s="153"/>
      <c r="FK13" s="153"/>
      <c r="FL13" s="153"/>
      <c r="FM13" s="153"/>
      <c r="FN13" s="153"/>
      <c r="FO13" s="153"/>
      <c r="FP13" s="153"/>
      <c r="FQ13" s="153"/>
      <c r="FR13" s="153"/>
      <c r="FS13" s="153"/>
      <c r="FT13" s="153"/>
      <c r="FU13" s="153"/>
      <c r="FV13" s="153"/>
      <c r="FW13" s="153"/>
    </row>
    <row r="14" spans="1:179" s="144" customFormat="1" ht="9.75" customHeight="1" x14ac:dyDescent="0.15">
      <c r="A14" s="471" t="s">
        <v>140</v>
      </c>
      <c r="B14" s="163">
        <v>5000000</v>
      </c>
      <c r="C14" s="297">
        <v>200000000</v>
      </c>
      <c r="D14" s="165"/>
      <c r="E14" s="298"/>
      <c r="F14" s="498">
        <f>SUM(IF(((1-(Z18/(IF(ISBLANK(D14),B14,(IF(D14=0,9.99999999999999E+29,D14))))))*SUM(F9:F13))&lt;0,0,((1-(Z18/(IF(ISBLANK(D14),B14,(IF(D14=0,9.99999999999999E+29,D14))))))*SUM(F9:F13))))</f>
        <v>9.9970000000000007E-3</v>
      </c>
      <c r="G14" s="499">
        <f>SUM(IF(((1-(F18/(IF(ISBLANK(D14),B14,(IF(D14=0,9.99999999999999E+29,D14))))))*SUM(G9:G13))&lt;0,0,((1-(F18/(IF(ISBLANK(D14),B14,(IF(D14=0,9.99999999999999E+29,D14))))))*SUM(G9:G13))))</f>
        <v>0.1199485148622277</v>
      </c>
      <c r="H14" s="499">
        <f>SUM(IF(((1-(G18/(IF(ISBLANK(D14),B14,(IF(D14=0,9.99999999999999E+29,D14))))))*SUM(H9:H13))&lt;0,0,((1-(G18/(IF(ISBLANK(D14),B14,(IF(D14=0,9.99999999999999E+29,D14))))))*SUM(H9:H13))))</f>
        <v>0.20479012041973083</v>
      </c>
      <c r="I14" s="499">
        <f>SUM(IF(((1-(H18/(IF(ISBLANK(D14),B14,(IF(D14=0,9.99999999999999E+29,D14))))))*SUM(I9:I13))&lt;0,0,((1-(H18/(IF(ISBLANK(D14),B14,(IF(D14=0,9.99999999999999E+29,D14))))))*SUM(I9:I13))))</f>
        <v>0.162355995208145</v>
      </c>
      <c r="J14" s="500">
        <f>SUM(((1+F14)*(1+F14)*(1+F14)*(1+G14)*(1+G14)*(1+G14)*(1+H14)*(1+H14)*(1+H14)*(1+I14)*(1+I14)*(1+I14))-1)</f>
        <v>2.9747159581258105</v>
      </c>
      <c r="K14" s="499">
        <f>SUM(IF(((1-(I18/(IF(ISBLANK(E14),C14,(IF(E14=0,9.99999999999999E+29,E14))))))*SUM(K9:K13))&lt;0,0,((1-(I18/(IF(ISBLANK(E14),C14,(IF(E14=0,9.99999999999999E+29,E14))))))*SUM(K9:K13))))</f>
        <v>0.13097800182360611</v>
      </c>
      <c r="L14" s="499">
        <f>SUM(IF(((1-(K18/(IF(ISBLANK(E14),C14,(IF(E14=0,9.99999999999999E+29,E14))))))*SUM(L9:L13))&lt;0,0,((1-(K18/(IF(ISBLANK(E14),C14,(IF(E14=0,9.99999999999999E+29,E14))))))*SUM(L9:L13))))</f>
        <v>0.11797286591594985</v>
      </c>
      <c r="M14" s="499">
        <f>SUM(IF(((1-(L18/(IF(ISBLANK(E14),C14,(IF(E14=0,9.99999999999999E+29,E14))))))*SUM(M9:M13))&lt;0,0,((1-(L18/(IF(ISBLANK(E14),C14,(IF(E14=0,9.99999999999999E+29,E14))))))*SUM(M9:M13))))</f>
        <v>0.10896670832931295</v>
      </c>
      <c r="N14" s="499">
        <f>SUM(IF(((1-(M18/(IF(ISBLANK(E14),C14,(IF(E14=0,9.99999999999999E+29,E14))))))*SUM(N9:N13))&lt;0,0,((1-(M18/(IF(ISBLANK(E14),C14,(IF(E14=0,9.99999999999999E+29,E14))))))*SUM(N9:N13))))</f>
        <v>9.9960740866128203E-2</v>
      </c>
      <c r="O14" s="501">
        <f t="shared" si="63"/>
        <v>2.6689630894680438</v>
      </c>
      <c r="P14" s="499">
        <f>SUM(IF(((1-(N18/(IF(ISBLANK(E14),C14,(IF(E14=0,9.99999999999999E+29,E14))))))*SUM(P9:P13))&lt;0,0,((1-(N18/(IF(ISBLANK(E14),C14,(IF(E14=0,9.99999999999999E+29,E14))))))*SUM(P9:P13))))</f>
        <v>9.0952548530951402E-2</v>
      </c>
      <c r="Q14" s="499">
        <f>SUM(IF(((1-(P18/(IF(ISBLANK(E14),C14,(IF(E14=0,9.99999999999999E+29,E14))))))*SUM(Q9:Q13))&lt;0,0,((1-(P18/(IF(ISBLANK(E14),C14,(IF(E14=0,9.99999999999999E+29,E14))))))*SUM(Q9:Q13))))</f>
        <v>8.1941747754765079E-2</v>
      </c>
      <c r="R14" s="499">
        <f>SUM(IF(((1-(Q18/(IF(ISBLANK(E14),C14,(IF(E14=0,9.99999999999999E+29,E14))))))*SUM(R9:R13))&lt;0,0,((1-(Q18/(IF(ISBLANK(E14),C14,(IF(E14=0,9.99999999999999E+29,E14))))))*SUM(R9:R13))))</f>
        <v>7.2927657367550094E-2</v>
      </c>
      <c r="S14" s="499">
        <f>SUM(IF(((1-(R18/(IF(ISBLANK(E14),C14,(IF(E14=0,9.99999999999999E+29,E14))))))*SUM(S9:S13))&lt;0,0,((1-(R18/(IF(ISBLANK(E14),C14,(IF(E14=0,9.99999999999999E+29,E14))))))*SUM(S9:S13))))</f>
        <v>6.3909322437475616E-2</v>
      </c>
      <c r="T14" s="503">
        <f t="shared" si="68"/>
        <v>1.4459883508700186</v>
      </c>
      <c r="U14" s="537"/>
      <c r="V14" s="640">
        <f>SUM(IF(((1-(T18/(IF(ISBLANK(E14),C14,(IF(E14=0,9.99999999999999E+29,E14))))))*SUM(V9:V13))&lt;0,0,((1-(T18/(IF(ISBLANK(E14),C14,(IF(E14=0,9.99999999999999E+29,E14))))))*SUM(V9:V13))))</f>
        <v>0.5029529554531007</v>
      </c>
      <c r="W14" s="500">
        <f>SUM(IF(((1-(V18/(IF(ISBLANK(E14),C14,(IF(E14=0,9.99999999999999E+29,E14))))))*SUM(W9:W13))&lt;0,0,((1-(V18/(IF(ISBLANK(E14),C14,(IF(E14=0,9.99999999999999E+29,E14))))))*SUM(W9:W13))))</f>
        <v>0.35836314252605894</v>
      </c>
      <c r="X14" s="641">
        <f>SUM(IF(((1-(W18/(IF(ISBLANK(E14),C14,(IF(E14=0,9.99999999999999E+29,E14))))))*SUM(X9:X13))&lt;0,0,((1-(W18/(IF(ISBLANK(E14),C14,(IF(E14=0,9.99999999999999E+29,E14))))))*SUM(X9:X13))))</f>
        <v>0.21283000355857704</v>
      </c>
      <c r="Y14" s="537"/>
      <c r="Z14" s="573">
        <v>0</v>
      </c>
      <c r="AA14" s="611"/>
      <c r="AB14" s="591">
        <f t="shared" si="0"/>
        <v>9.9970000000000007E-3</v>
      </c>
      <c r="AC14" s="499">
        <f t="shared" si="1"/>
        <v>9.9970000000000007E-3</v>
      </c>
      <c r="AD14" s="499">
        <f t="shared" si="2"/>
        <v>9.9970000000000007E-3</v>
      </c>
      <c r="AE14" s="499">
        <f t="shared" si="36"/>
        <v>2.9991000000000004E-2</v>
      </c>
      <c r="AF14" s="597"/>
      <c r="AG14" s="591">
        <f t="shared" si="3"/>
        <v>0.1199485148622277</v>
      </c>
      <c r="AH14" s="499">
        <f t="shared" si="4"/>
        <v>0.1199485148622277</v>
      </c>
      <c r="AI14" s="499">
        <f t="shared" si="5"/>
        <v>0.1199485148622277</v>
      </c>
      <c r="AJ14" s="499">
        <f t="shared" si="37"/>
        <v>0.35984554458668311</v>
      </c>
      <c r="AK14" s="597"/>
      <c r="AL14" s="591">
        <f t="shared" si="6"/>
        <v>0.20479012041973083</v>
      </c>
      <c r="AM14" s="499">
        <f t="shared" si="7"/>
        <v>0.20479012041973083</v>
      </c>
      <c r="AN14" s="499">
        <f t="shared" si="8"/>
        <v>0.20479012041973083</v>
      </c>
      <c r="AO14" s="499">
        <f t="shared" si="38"/>
        <v>0.61437036125919242</v>
      </c>
      <c r="AP14" s="597"/>
      <c r="AQ14" s="591">
        <f t="shared" si="9"/>
        <v>0.162355995208145</v>
      </c>
      <c r="AR14" s="499">
        <f t="shared" si="10"/>
        <v>0.162355995208145</v>
      </c>
      <c r="AS14" s="499">
        <f t="shared" si="11"/>
        <v>0.162355995208145</v>
      </c>
      <c r="AT14" s="499">
        <f t="shared" si="39"/>
        <v>0.48706798562443498</v>
      </c>
      <c r="AU14" s="597"/>
      <c r="AV14" s="611"/>
      <c r="AW14" s="591">
        <f t="shared" si="12"/>
        <v>0.13097800182360611</v>
      </c>
      <c r="AX14" s="499">
        <f t="shared" si="13"/>
        <v>0.13097800182360611</v>
      </c>
      <c r="AY14" s="499">
        <f t="shared" si="14"/>
        <v>0.13097800182360611</v>
      </c>
      <c r="AZ14" s="499">
        <f t="shared" si="40"/>
        <v>0.39293400547081836</v>
      </c>
      <c r="BA14" s="597"/>
      <c r="BB14" s="591">
        <f t="shared" si="15"/>
        <v>0.11797286591594985</v>
      </c>
      <c r="BC14" s="499">
        <f t="shared" si="16"/>
        <v>0.11797286591594985</v>
      </c>
      <c r="BD14" s="499">
        <f t="shared" si="17"/>
        <v>0.11797286591594985</v>
      </c>
      <c r="BE14" s="499">
        <f t="shared" si="41"/>
        <v>0.35391859774784956</v>
      </c>
      <c r="BF14" s="597"/>
      <c r="BG14" s="591">
        <f t="shared" si="18"/>
        <v>0.10896670832931295</v>
      </c>
      <c r="BH14" s="499">
        <f t="shared" si="19"/>
        <v>0.10896670832931295</v>
      </c>
      <c r="BI14" s="499">
        <f t="shared" si="20"/>
        <v>0.10896670832931295</v>
      </c>
      <c r="BJ14" s="499">
        <f t="shared" si="42"/>
        <v>0.32690012498793886</v>
      </c>
      <c r="BK14" s="597"/>
      <c r="BL14" s="591">
        <f t="shared" si="21"/>
        <v>9.9960740866128203E-2</v>
      </c>
      <c r="BM14" s="499">
        <f t="shared" si="22"/>
        <v>9.9960740866128203E-2</v>
      </c>
      <c r="BN14" s="499">
        <f t="shared" si="23"/>
        <v>9.9960740866128203E-2</v>
      </c>
      <c r="BO14" s="499">
        <f t="shared" si="51"/>
        <v>0.2998822225983846</v>
      </c>
      <c r="BP14" s="597"/>
      <c r="BQ14" s="537"/>
      <c r="BR14" s="591">
        <f t="shared" si="24"/>
        <v>9.0952548530951402E-2</v>
      </c>
      <c r="BS14" s="499">
        <f t="shared" si="25"/>
        <v>9.0952548530951402E-2</v>
      </c>
      <c r="BT14" s="499">
        <f t="shared" si="26"/>
        <v>9.0952548530951402E-2</v>
      </c>
      <c r="BU14" s="499">
        <f t="shared" si="52"/>
        <v>0.27285764559285419</v>
      </c>
      <c r="BV14" s="597"/>
      <c r="BW14" s="591">
        <f t="shared" si="27"/>
        <v>8.1941747754765079E-2</v>
      </c>
      <c r="BX14" s="499">
        <f t="shared" si="28"/>
        <v>8.1941747754765079E-2</v>
      </c>
      <c r="BY14" s="499">
        <f t="shared" si="29"/>
        <v>8.1941747754765079E-2</v>
      </c>
      <c r="BZ14" s="499">
        <f t="shared" si="53"/>
        <v>0.24582524326429522</v>
      </c>
      <c r="CA14" s="597"/>
      <c r="CB14" s="591">
        <f t="shared" si="30"/>
        <v>7.2927657367550094E-2</v>
      </c>
      <c r="CC14" s="499">
        <f t="shared" si="31"/>
        <v>7.2927657367550094E-2</v>
      </c>
      <c r="CD14" s="499">
        <f t="shared" si="32"/>
        <v>7.2927657367550094E-2</v>
      </c>
      <c r="CE14" s="499">
        <f t="shared" si="54"/>
        <v>0.2187829721026503</v>
      </c>
      <c r="CF14" s="597"/>
      <c r="CG14" s="591">
        <f t="shared" si="33"/>
        <v>6.3909322437475616E-2</v>
      </c>
      <c r="CH14" s="499">
        <f t="shared" si="34"/>
        <v>6.3909322437475616E-2</v>
      </c>
      <c r="CI14" s="499">
        <f t="shared" si="35"/>
        <v>6.3909322437475616E-2</v>
      </c>
      <c r="CJ14" s="499">
        <f t="shared" si="55"/>
        <v>0.19172796731242686</v>
      </c>
      <c r="CK14" s="166"/>
      <c r="CL14" s="153"/>
      <c r="CM14" s="153"/>
      <c r="CN14" s="153"/>
      <c r="CO14" s="153"/>
      <c r="CP14" s="153"/>
      <c r="CQ14" s="153"/>
      <c r="CR14" s="153"/>
      <c r="CS14" s="153"/>
      <c r="CT14" s="153"/>
      <c r="CU14" s="153"/>
      <c r="CV14" s="153"/>
      <c r="CW14" s="153"/>
      <c r="CX14" s="153"/>
      <c r="CY14" s="153"/>
      <c r="CZ14" s="153"/>
      <c r="DA14" s="153"/>
      <c r="DB14" s="153"/>
      <c r="DC14" s="153"/>
      <c r="DD14" s="153"/>
      <c r="DE14" s="153"/>
      <c r="DF14" s="153"/>
      <c r="DG14" s="153"/>
      <c r="DH14" s="153"/>
      <c r="DI14" s="153"/>
      <c r="DJ14" s="153"/>
      <c r="DK14" s="153"/>
      <c r="DL14" s="153"/>
      <c r="DM14" s="153"/>
      <c r="DN14" s="153"/>
      <c r="DO14" s="153"/>
      <c r="DP14" s="153"/>
      <c r="DQ14" s="153"/>
      <c r="DR14" s="153"/>
      <c r="DS14" s="153"/>
      <c r="DT14" s="153"/>
      <c r="DU14" s="153"/>
      <c r="DV14" s="153"/>
      <c r="DW14" s="153"/>
      <c r="DX14" s="153"/>
      <c r="DY14" s="153"/>
      <c r="DZ14" s="153"/>
      <c r="EA14" s="153"/>
      <c r="EB14" s="153"/>
      <c r="EC14" s="153"/>
      <c r="ED14" s="153"/>
      <c r="EE14" s="153"/>
      <c r="EF14" s="153"/>
      <c r="EG14" s="153"/>
      <c r="EH14" s="153"/>
      <c r="EI14" s="153"/>
      <c r="EJ14" s="153"/>
      <c r="EK14" s="153"/>
      <c r="EL14" s="153"/>
      <c r="EM14" s="153"/>
      <c r="EN14" s="153"/>
      <c r="EO14" s="153"/>
      <c r="EP14" s="153"/>
      <c r="EQ14" s="153"/>
      <c r="ER14" s="153"/>
      <c r="ES14" s="153"/>
      <c r="ET14" s="153"/>
      <c r="EU14" s="153"/>
      <c r="EV14" s="153"/>
      <c r="EW14" s="153"/>
      <c r="EX14" s="153"/>
      <c r="EY14" s="153"/>
      <c r="EZ14" s="153"/>
      <c r="FA14" s="153"/>
      <c r="FB14" s="153"/>
      <c r="FC14" s="153"/>
      <c r="FD14" s="153"/>
      <c r="FE14" s="153"/>
      <c r="FF14" s="153"/>
      <c r="FG14" s="153"/>
      <c r="FH14" s="153"/>
      <c r="FI14" s="153"/>
      <c r="FJ14" s="153"/>
      <c r="FK14" s="153"/>
      <c r="FL14" s="153"/>
      <c r="FM14" s="153"/>
      <c r="FN14" s="153"/>
      <c r="FO14" s="153"/>
      <c r="FP14" s="153"/>
      <c r="FQ14" s="153"/>
      <c r="FR14" s="153"/>
      <c r="FS14" s="153"/>
      <c r="FT14" s="153"/>
      <c r="FU14" s="153"/>
      <c r="FV14" s="153"/>
      <c r="FW14" s="153"/>
    </row>
    <row r="15" spans="1:179" s="144" customFormat="1" ht="9.75" customHeight="1" x14ac:dyDescent="0.15">
      <c r="A15" s="472" t="s">
        <v>141</v>
      </c>
      <c r="B15" s="145">
        <v>0.2</v>
      </c>
      <c r="C15" s="126">
        <v>-1.7999999999999999E-2</v>
      </c>
      <c r="D15" s="626"/>
      <c r="E15" s="624"/>
      <c r="F15" s="622">
        <v>0.8</v>
      </c>
      <c r="G15" s="623">
        <v>0.5</v>
      </c>
      <c r="H15" s="502">
        <f>SUM(IF(     IF(ISBLANK(D15),B15,D15)   &gt;   0,   (     IF(ISBLANK(D15),B15,D15)   ),0))</f>
        <v>0.2</v>
      </c>
      <c r="I15" s="502">
        <f>SUM(IF(     IF(ISBLANK(D15),B15,D15)     +   (1* (IF(ISBLANK(E15),C15,E15))) &gt;   0,   (     IF(ISBLANK(D15),B15,D15)    +  (1* (IF(ISBLANK(E15),C15,E15)) )  ),0))</f>
        <v>0.18200000000000002</v>
      </c>
      <c r="J15" s="500">
        <f>SUM(((1+F15)*(1+F15)*(1+F15)*(1+G15)*(1+G15)*(1+G15)*(1+H15)*(1+H15)*(1+H15)*(1+I15)*(1+I15)*(1+I15))-1)</f>
        <v>55.167806032543233</v>
      </c>
      <c r="K15" s="502">
        <f>SUM(IF(     IF(ISBLANK(D15),B15,D15)    +   (2* (IF(ISBLANK(E15),C15,E15))) &gt;   0,   (     IF(ISBLANK(D15),B15,D15)    +  (2* (IF(ISBLANK(E15),C15,E15)) )  ),0))</f>
        <v>0.16400000000000001</v>
      </c>
      <c r="L15" s="502">
        <f>SUM(IF(     IF(ISBLANK(D15),B15,D15)    +   (3* (IF(ISBLANK(E15),C15,E15))) &gt;   0,   (     IF(ISBLANK(D15),B15,D15)    +  (3* (IF(ISBLANK(E15),C15,E15)) )  ),0))</f>
        <v>0.14600000000000002</v>
      </c>
      <c r="M15" s="502">
        <f>SUM(IF(     IF(ISBLANK(D15),B15,D15)     +   (4* (IF(ISBLANK(E15),C15,E15))) &gt;   0,   (     IF(ISBLANK(D15),B15,D15)   +  (4* (IF(ISBLANK(E15),C15,E15)) )  ),0))</f>
        <v>0.128</v>
      </c>
      <c r="N15" s="502">
        <f>SUM(IF(     IF(ISBLANK(D15),B15,D15)     +  (5* (IF(ISBLANK(E15),C15,E15))) &gt;   0,   (     IF(ISBLANK(D15),B15,D15)   +  (5* (IF(ISBLANK(E15),C15,E15)) )  ),0))</f>
        <v>0.11000000000000001</v>
      </c>
      <c r="O15" s="500">
        <f t="shared" si="63"/>
        <v>3.6591750660109783</v>
      </c>
      <c r="P15" s="502">
        <f>SUM(IF(     IF(ISBLANK(D15),B15,D15)     +   (6* (IF(ISBLANK(E15),C15,E15))) &gt;   0,   (     IF(ISBLANK(D15),B15,D15)    +  (6* (IF(ISBLANK(E15),C15,E15)) )  ),0))</f>
        <v>9.2000000000000026E-2</v>
      </c>
      <c r="Q15" s="502">
        <f>SUM(IF(     IF(ISBLANK(D15),B15,D15)     +   (7* (IF(ISBLANK(E15),C15,E15))) &gt;   0,   (     IF(ISBLANK(D15),B15,D15)    +  (7* (IF(ISBLANK(E15),C15,E15)) )  ),0))</f>
        <v>7.400000000000001E-2</v>
      </c>
      <c r="R15" s="502">
        <f>SUM(IF(     IF(ISBLANK(D15),B15,D15)     +   (8* (IF(ISBLANK(E15),C15,E15))) &gt;   0,   (     IF(ISBLANK(D15),B15,D15)    +  (8* (IF(ISBLANK(E15),C15,E15)) )  ),0))</f>
        <v>5.6000000000000022E-2</v>
      </c>
      <c r="S15" s="502">
        <f>SUM(IF(     IF(ISBLANK(D15),B15,D15)     +   (9* (IF(ISBLANK(E15),C15,E15))) &gt;   0,   (     IF(ISBLANK(D15),B15,D15)   +  (9* (IF(ISBLANK(E15),C15,E15)) )  ),0))</f>
        <v>3.8000000000000034E-2</v>
      </c>
      <c r="T15" s="503">
        <f t="shared" si="68"/>
        <v>1.1245383470160082</v>
      </c>
      <c r="U15" s="538"/>
      <c r="V15" s="642">
        <v>0.2</v>
      </c>
      <c r="W15" s="506">
        <v>0.2</v>
      </c>
      <c r="X15" s="643">
        <v>0.2</v>
      </c>
      <c r="Y15" s="538"/>
      <c r="Z15" s="574">
        <v>0.7</v>
      </c>
      <c r="AA15" s="612"/>
      <c r="AB15" s="592">
        <f t="shared" si="0"/>
        <v>0.8</v>
      </c>
      <c r="AC15" s="502">
        <f t="shared" si="1"/>
        <v>0.8</v>
      </c>
      <c r="AD15" s="502">
        <f t="shared" si="2"/>
        <v>0.8</v>
      </c>
      <c r="AE15" s="502">
        <f t="shared" si="36"/>
        <v>2.4000000000000004</v>
      </c>
      <c r="AF15" s="598"/>
      <c r="AG15" s="592">
        <f t="shared" si="3"/>
        <v>0.5</v>
      </c>
      <c r="AH15" s="502">
        <f t="shared" si="4"/>
        <v>0.5</v>
      </c>
      <c r="AI15" s="502">
        <f t="shared" si="5"/>
        <v>0.5</v>
      </c>
      <c r="AJ15" s="502">
        <f t="shared" si="37"/>
        <v>1.5</v>
      </c>
      <c r="AK15" s="598"/>
      <c r="AL15" s="592">
        <f t="shared" si="6"/>
        <v>0.2</v>
      </c>
      <c r="AM15" s="502">
        <f t="shared" si="7"/>
        <v>0.2</v>
      </c>
      <c r="AN15" s="502">
        <f t="shared" si="8"/>
        <v>0.2</v>
      </c>
      <c r="AO15" s="502">
        <f t="shared" si="38"/>
        <v>0.60000000000000009</v>
      </c>
      <c r="AP15" s="598"/>
      <c r="AQ15" s="592">
        <f t="shared" si="9"/>
        <v>0.18200000000000002</v>
      </c>
      <c r="AR15" s="502">
        <f t="shared" si="10"/>
        <v>0.18200000000000002</v>
      </c>
      <c r="AS15" s="502">
        <f t="shared" si="11"/>
        <v>0.18200000000000002</v>
      </c>
      <c r="AT15" s="502">
        <f t="shared" si="39"/>
        <v>0.54600000000000004</v>
      </c>
      <c r="AU15" s="598"/>
      <c r="AV15" s="612"/>
      <c r="AW15" s="592">
        <f t="shared" si="12"/>
        <v>0.16400000000000001</v>
      </c>
      <c r="AX15" s="502">
        <f t="shared" si="13"/>
        <v>0.16400000000000001</v>
      </c>
      <c r="AY15" s="502">
        <f t="shared" si="14"/>
        <v>0.16400000000000001</v>
      </c>
      <c r="AZ15" s="502">
        <f t="shared" si="40"/>
        <v>0.49199999999999999</v>
      </c>
      <c r="BA15" s="598"/>
      <c r="BB15" s="592">
        <f t="shared" si="15"/>
        <v>0.14600000000000002</v>
      </c>
      <c r="BC15" s="502">
        <f t="shared" si="16"/>
        <v>0.14600000000000002</v>
      </c>
      <c r="BD15" s="502">
        <f t="shared" si="17"/>
        <v>0.14600000000000002</v>
      </c>
      <c r="BE15" s="502">
        <f t="shared" si="41"/>
        <v>0.43800000000000006</v>
      </c>
      <c r="BF15" s="598"/>
      <c r="BG15" s="592">
        <f t="shared" si="18"/>
        <v>0.128</v>
      </c>
      <c r="BH15" s="502">
        <f t="shared" si="19"/>
        <v>0.128</v>
      </c>
      <c r="BI15" s="502">
        <f t="shared" si="20"/>
        <v>0.128</v>
      </c>
      <c r="BJ15" s="502">
        <f t="shared" si="42"/>
        <v>0.38400000000000001</v>
      </c>
      <c r="BK15" s="598"/>
      <c r="BL15" s="592">
        <f t="shared" si="21"/>
        <v>0.11000000000000001</v>
      </c>
      <c r="BM15" s="502">
        <f t="shared" si="22"/>
        <v>0.11000000000000001</v>
      </c>
      <c r="BN15" s="502">
        <f t="shared" si="23"/>
        <v>0.11000000000000001</v>
      </c>
      <c r="BO15" s="502">
        <f t="shared" si="51"/>
        <v>0.33000000000000007</v>
      </c>
      <c r="BP15" s="598"/>
      <c r="BQ15" s="538"/>
      <c r="BR15" s="592">
        <f t="shared" si="24"/>
        <v>9.2000000000000026E-2</v>
      </c>
      <c r="BS15" s="502">
        <f t="shared" si="25"/>
        <v>9.2000000000000026E-2</v>
      </c>
      <c r="BT15" s="502">
        <f t="shared" si="26"/>
        <v>9.2000000000000026E-2</v>
      </c>
      <c r="BU15" s="502">
        <f t="shared" si="52"/>
        <v>0.27600000000000008</v>
      </c>
      <c r="BV15" s="598"/>
      <c r="BW15" s="592">
        <f t="shared" si="27"/>
        <v>7.400000000000001E-2</v>
      </c>
      <c r="BX15" s="502">
        <f t="shared" si="28"/>
        <v>7.400000000000001E-2</v>
      </c>
      <c r="BY15" s="502">
        <f t="shared" si="29"/>
        <v>7.400000000000001E-2</v>
      </c>
      <c r="BZ15" s="502">
        <f t="shared" si="53"/>
        <v>0.22200000000000003</v>
      </c>
      <c r="CA15" s="598"/>
      <c r="CB15" s="592">
        <f t="shared" si="30"/>
        <v>5.6000000000000022E-2</v>
      </c>
      <c r="CC15" s="502">
        <f t="shared" si="31"/>
        <v>5.6000000000000022E-2</v>
      </c>
      <c r="CD15" s="502">
        <f t="shared" si="32"/>
        <v>5.6000000000000022E-2</v>
      </c>
      <c r="CE15" s="502">
        <f t="shared" si="54"/>
        <v>0.16800000000000007</v>
      </c>
      <c r="CF15" s="598"/>
      <c r="CG15" s="592">
        <f t="shared" si="33"/>
        <v>3.8000000000000034E-2</v>
      </c>
      <c r="CH15" s="502">
        <f t="shared" si="34"/>
        <v>3.8000000000000034E-2</v>
      </c>
      <c r="CI15" s="502">
        <f t="shared" si="35"/>
        <v>3.8000000000000034E-2</v>
      </c>
      <c r="CJ15" s="502">
        <f t="shared" si="55"/>
        <v>0.1140000000000001</v>
      </c>
      <c r="CK15" s="168"/>
      <c r="CL15" s="153"/>
      <c r="CM15" s="153"/>
      <c r="CN15" s="153"/>
      <c r="CO15" s="153"/>
      <c r="CP15" s="153"/>
      <c r="CQ15" s="153"/>
      <c r="CR15" s="153"/>
      <c r="CS15" s="153"/>
      <c r="CT15" s="153"/>
      <c r="CU15" s="153"/>
      <c r="CV15" s="153"/>
      <c r="CW15" s="153"/>
      <c r="CX15" s="153"/>
      <c r="CY15" s="153"/>
      <c r="CZ15" s="153"/>
      <c r="DA15" s="153"/>
      <c r="DB15" s="153"/>
      <c r="DC15" s="153"/>
      <c r="DD15" s="153"/>
      <c r="DE15" s="153"/>
      <c r="DF15" s="153"/>
      <c r="DG15" s="153"/>
      <c r="DH15" s="153"/>
      <c r="DI15" s="153"/>
      <c r="DJ15" s="153"/>
      <c r="DK15" s="153"/>
      <c r="DL15" s="153"/>
      <c r="DM15" s="153"/>
      <c r="DN15" s="153"/>
      <c r="DO15" s="153"/>
      <c r="DP15" s="153"/>
      <c r="DQ15" s="153"/>
      <c r="DR15" s="153"/>
      <c r="DS15" s="153"/>
      <c r="DT15" s="153"/>
      <c r="DU15" s="153"/>
      <c r="DV15" s="153"/>
      <c r="DW15" s="153"/>
      <c r="DX15" s="153"/>
      <c r="DY15" s="153"/>
      <c r="DZ15" s="153"/>
      <c r="EA15" s="153"/>
      <c r="EB15" s="153"/>
      <c r="EC15" s="153"/>
      <c r="ED15" s="153"/>
      <c r="EE15" s="153"/>
      <c r="EF15" s="153"/>
      <c r="EG15" s="153"/>
      <c r="EH15" s="153"/>
      <c r="EI15" s="153"/>
      <c r="EJ15" s="153"/>
      <c r="EK15" s="153"/>
      <c r="EL15" s="153"/>
      <c r="EM15" s="153"/>
      <c r="EN15" s="153"/>
      <c r="EO15" s="153"/>
      <c r="EP15" s="153"/>
      <c r="EQ15" s="153"/>
      <c r="ER15" s="153"/>
      <c r="ES15" s="153"/>
      <c r="ET15" s="153"/>
      <c r="EU15" s="153"/>
      <c r="EV15" s="153"/>
      <c r="EW15" s="153"/>
      <c r="EX15" s="153"/>
      <c r="EY15" s="153"/>
      <c r="EZ15" s="153"/>
      <c r="FA15" s="153"/>
      <c r="FB15" s="153"/>
      <c r="FC15" s="153"/>
      <c r="FD15" s="153"/>
      <c r="FE15" s="153"/>
      <c r="FF15" s="153"/>
      <c r="FG15" s="153"/>
      <c r="FH15" s="153"/>
      <c r="FI15" s="153"/>
      <c r="FJ15" s="153"/>
      <c r="FK15" s="153"/>
      <c r="FL15" s="153"/>
      <c r="FM15" s="153"/>
      <c r="FN15" s="153"/>
      <c r="FO15" s="153"/>
      <c r="FP15" s="153"/>
      <c r="FQ15" s="153"/>
      <c r="FR15" s="153"/>
      <c r="FS15" s="153"/>
      <c r="FT15" s="153"/>
      <c r="FU15" s="153"/>
      <c r="FV15" s="153"/>
      <c r="FW15" s="153"/>
    </row>
    <row r="16" spans="1:179" s="175" customFormat="1" ht="9.75" customHeight="1" x14ac:dyDescent="0.15">
      <c r="A16" s="473" t="s">
        <v>142</v>
      </c>
      <c r="B16" s="169"/>
      <c r="C16" s="170"/>
      <c r="D16" s="628"/>
      <c r="E16" s="629"/>
      <c r="F16" s="504">
        <f>SUM((F18/Z18)-1)/3</f>
        <v>0.14338090529920011</v>
      </c>
      <c r="G16" s="504">
        <f>SUM((G18/F18)-1)/3</f>
        <v>0.4620828779306933</v>
      </c>
      <c r="H16" s="504">
        <f>SUM((H18/G18)-1)/3</f>
        <v>0.95303077417689119</v>
      </c>
      <c r="I16" s="504">
        <f>SUM((I18/H18)-1)/3</f>
        <v>0.23336590204669286</v>
      </c>
      <c r="J16" s="505" t="s">
        <v>38</v>
      </c>
      <c r="K16" s="502">
        <f>SUM((K18/I18)-1)/3</f>
        <v>0.12312014343907245</v>
      </c>
      <c r="L16" s="502">
        <f>SUM((L18/K18)-1)/3</f>
        <v>0.10941269982853001</v>
      </c>
      <c r="M16" s="502">
        <f>SUM((M18/L18)-1)/3</f>
        <v>9.5126749295248406E-2</v>
      </c>
      <c r="N16" s="502">
        <f>SUM((N18/M18)-1)/3</f>
        <v>0.10940415931602687</v>
      </c>
      <c r="O16" s="506">
        <f>SUM(O18/J18)-1</f>
        <v>2.1052236520986116</v>
      </c>
      <c r="P16" s="502">
        <f>SUM((P18/N18)-1)/3</f>
        <v>0.12078526855755729</v>
      </c>
      <c r="Q16" s="502">
        <f>SUM((Q18/P18)-1)/3</f>
        <v>0.13166497879365427</v>
      </c>
      <c r="R16" s="502">
        <f>SUM((R18/Q18)-1)/3</f>
        <v>0.14323717219810236</v>
      </c>
      <c r="S16" s="502">
        <f>SUM((S18/R18)-1)/3</f>
        <v>0.15542424535188135</v>
      </c>
      <c r="T16" s="507">
        <f>SUM(T18/O18)-1</f>
        <v>2.9840644272404355</v>
      </c>
      <c r="U16" s="538"/>
      <c r="V16" s="642">
        <f>SUM(V18/T18)-1</f>
        <v>1.1886370262888168</v>
      </c>
      <c r="W16" s="506">
        <f>SUM(W18/V18)-1</f>
        <v>2.2277259849941244</v>
      </c>
      <c r="X16" s="643">
        <f>SUM(X18/W18)-1</f>
        <v>0.95839927033166328</v>
      </c>
      <c r="Y16" s="173"/>
      <c r="Z16" s="574">
        <v>0</v>
      </c>
      <c r="AA16" s="613"/>
      <c r="AB16" s="592">
        <f>SUM((AB18/Z18)-1)</f>
        <v>0.34299033333333329</v>
      </c>
      <c r="AC16" s="502">
        <f t="shared" ref="AC16:AD16" si="69">SUM((AC18/AB18)-1)</f>
        <v>5.3631764310788199E-2</v>
      </c>
      <c r="AD16" s="502">
        <f t="shared" si="69"/>
        <v>1.0689227481044838E-2</v>
      </c>
      <c r="AE16" s="502">
        <f t="shared" si="36"/>
        <v>0.40731132512516632</v>
      </c>
      <c r="AF16" s="599"/>
      <c r="AG16" s="592">
        <f>SUM((AG18/AD18)-1)</f>
        <v>0.69164258472438633</v>
      </c>
      <c r="AH16" s="502">
        <f>SUM((AH18/AG18)-1)</f>
        <v>0.2534712693374388</v>
      </c>
      <c r="AI16" s="502">
        <f>SUM((AI18/AH18)-1)</f>
        <v>0.12536317411491193</v>
      </c>
      <c r="AJ16" s="502">
        <f t="shared" si="37"/>
        <v>1.0704770281767371</v>
      </c>
      <c r="AK16" s="599"/>
      <c r="AL16" s="592">
        <f>SUM((AL18/AI18)-1)</f>
        <v>0.94848018549981039</v>
      </c>
      <c r="AM16" s="502">
        <f>SUM((AM18/AL18)-1)</f>
        <v>0.48911121955269987</v>
      </c>
      <c r="AN16" s="502">
        <f>SUM((AN18/AM18)-1)</f>
        <v>0.33003184365276739</v>
      </c>
      <c r="AO16" s="502">
        <f t="shared" si="38"/>
        <v>1.7676232487052776</v>
      </c>
      <c r="AP16" s="599"/>
      <c r="AQ16" s="592">
        <f>SUM((AQ18/AN18)-1)</f>
        <v>0.23801077170503482</v>
      </c>
      <c r="AR16" s="502">
        <f>SUM((AR18/AQ18)-1)</f>
        <v>0.18847597476376543</v>
      </c>
      <c r="AS16" s="502">
        <f>SUM((AS18/AR18)-1)</f>
        <v>0.15547100297848604</v>
      </c>
      <c r="AT16" s="502">
        <f t="shared" si="39"/>
        <v>0.58195774944728629</v>
      </c>
      <c r="AU16" s="599"/>
      <c r="AV16" s="613"/>
      <c r="AW16" s="592">
        <f>SUM((AW18/AS18)-1)</f>
        <v>0.12727681509371225</v>
      </c>
      <c r="AX16" s="502">
        <f>SUM((AX18/AW18)-1)</f>
        <v>0.10917804632357253</v>
      </c>
      <c r="AY16" s="502">
        <f>SUM((AY18/AX18)-1)</f>
        <v>9.5181084251441561E-2</v>
      </c>
      <c r="AZ16" s="502">
        <f t="shared" si="40"/>
        <v>0.33163594566872634</v>
      </c>
      <c r="BA16" s="599"/>
      <c r="BB16" s="592">
        <f>SUM((BB18/AY18)-1)</f>
        <v>0.11253733193597748</v>
      </c>
      <c r="BC16" s="502">
        <f>SUM((BC18/BB18)-1)</f>
        <v>9.8318707970009411E-2</v>
      </c>
      <c r="BD16" s="502">
        <f>SUM((BD18/BC18)-1)</f>
        <v>8.7008548306884315E-2</v>
      </c>
      <c r="BE16" s="502">
        <f t="shared" si="41"/>
        <v>0.29786458821287121</v>
      </c>
      <c r="BF16" s="599"/>
      <c r="BG16" s="592">
        <f>SUM((BG18/BD18)-1)</f>
        <v>9.6960518620752278E-2</v>
      </c>
      <c r="BH16" s="502">
        <f>SUM((BH18/BG18)-1)</f>
        <v>8.6707806867009296E-2</v>
      </c>
      <c r="BI16" s="502">
        <f>SUM((BI18/BH18)-1)</f>
        <v>7.8270783877043781E-2</v>
      </c>
      <c r="BJ16" s="502">
        <f t="shared" si="42"/>
        <v>0.26193910936480536</v>
      </c>
      <c r="BK16" s="599"/>
      <c r="BL16" s="592">
        <f>SUM((BL18/BI18)-1)</f>
        <v>0.11050988403565598</v>
      </c>
      <c r="BM16" s="502">
        <f>SUM((BM18/BL18)-1)</f>
        <v>9.8513708203479045E-2</v>
      </c>
      <c r="BN16" s="502">
        <f>SUM((BN18/BM18)-1)</f>
        <v>8.8778777024165256E-2</v>
      </c>
      <c r="BO16" s="502">
        <f>SUM(BL16:BN16)</f>
        <v>0.29780236926330028</v>
      </c>
      <c r="BP16" s="599"/>
      <c r="BQ16" s="173"/>
      <c r="BR16" s="592">
        <f>SUM((BR18/BN18)-1)</f>
        <v>0.12091187365757339</v>
      </c>
      <c r="BS16" s="502">
        <f>SUM((BS18/BR18)-1)</f>
        <v>0.10775621810817215</v>
      </c>
      <c r="BT16" s="502">
        <f>SUM((BT18/BS18)-1)</f>
        <v>9.7172416583721777E-2</v>
      </c>
      <c r="BU16" s="502">
        <f>SUM(BR16:BT16)</f>
        <v>0.32584050834946732</v>
      </c>
      <c r="BV16" s="599"/>
      <c r="BW16" s="592">
        <f>SUM((BW18/BT18)-1)</f>
        <v>0.13062484301123356</v>
      </c>
      <c r="BX16" s="502">
        <f>SUM((BX18/BW18)-1)</f>
        <v>0.1164508575755987</v>
      </c>
      <c r="BY16" s="502">
        <f>SUM((BY18/BX18)-1)</f>
        <v>0.10513286824569623</v>
      </c>
      <c r="BZ16" s="502">
        <f>SUM(BW16:BY16)</f>
        <v>0.35220856883252849</v>
      </c>
      <c r="CA16" s="599"/>
      <c r="CB16" s="592">
        <f>SUM((CB18/BY18)-1)</f>
        <v>0.14083963479145023</v>
      </c>
      <c r="CC16" s="502">
        <f>SUM((CC18/CB18)-1)</f>
        <v>0.12554237730279461</v>
      </c>
      <c r="CD16" s="502">
        <f>SUM((CD18/CC18)-1)</f>
        <v>0.11342755121919224</v>
      </c>
      <c r="CE16" s="502">
        <f t="shared" si="54"/>
        <v>0.37980956331343707</v>
      </c>
      <c r="CF16" s="599"/>
      <c r="CG16" s="592">
        <f>SUM((CG18/CD18)-1)</f>
        <v>0.15146597196426126</v>
      </c>
      <c r="CH16" s="502">
        <f>SUM((CH18/CG18)-1)</f>
        <v>0.13495001715518518</v>
      </c>
      <c r="CI16" s="502">
        <f>SUM((CI18/CH18)-1)</f>
        <v>0.12198465004619785</v>
      </c>
      <c r="CJ16" s="502">
        <f t="shared" si="55"/>
        <v>0.40840063916564429</v>
      </c>
      <c r="CK16" s="152"/>
      <c r="CL16" s="174"/>
      <c r="CM16" s="174"/>
      <c r="CN16" s="174"/>
      <c r="CO16" s="174"/>
      <c r="CP16" s="174"/>
      <c r="CQ16" s="174"/>
      <c r="CR16" s="174"/>
      <c r="CS16" s="174"/>
      <c r="CT16" s="174"/>
      <c r="CU16" s="174"/>
      <c r="CV16" s="174"/>
      <c r="CW16" s="174"/>
      <c r="CX16" s="174"/>
      <c r="CY16" s="174"/>
      <c r="CZ16" s="174"/>
      <c r="DA16" s="174"/>
      <c r="DB16" s="174"/>
      <c r="DC16" s="174"/>
      <c r="DD16" s="174"/>
      <c r="DE16" s="174"/>
      <c r="DF16" s="174"/>
      <c r="DG16" s="174"/>
      <c r="DH16" s="174"/>
      <c r="DI16" s="174"/>
      <c r="DJ16" s="174"/>
      <c r="DK16" s="174"/>
      <c r="DL16" s="174"/>
      <c r="DM16" s="174"/>
      <c r="DN16" s="174"/>
      <c r="DO16" s="174"/>
      <c r="DP16" s="174"/>
      <c r="DQ16" s="174"/>
      <c r="DR16" s="174"/>
      <c r="DS16" s="174"/>
      <c r="DT16" s="174"/>
      <c r="DU16" s="174"/>
      <c r="DV16" s="174"/>
      <c r="DW16" s="174"/>
      <c r="DX16" s="174"/>
      <c r="DY16" s="174"/>
      <c r="DZ16" s="174"/>
      <c r="EA16" s="174"/>
      <c r="EB16" s="174"/>
      <c r="EC16" s="174"/>
      <c r="ED16" s="174"/>
      <c r="EE16" s="174"/>
      <c r="EF16" s="174"/>
      <c r="EG16" s="174"/>
      <c r="EH16" s="174"/>
      <c r="EI16" s="174"/>
      <c r="EJ16" s="174"/>
      <c r="EK16" s="174"/>
      <c r="EL16" s="174"/>
      <c r="EM16" s="174"/>
      <c r="EN16" s="174"/>
      <c r="EO16" s="174"/>
      <c r="EP16" s="174"/>
      <c r="EQ16" s="174"/>
      <c r="ER16" s="174"/>
      <c r="ES16" s="174"/>
      <c r="ET16" s="174"/>
      <c r="EU16" s="174"/>
      <c r="EV16" s="174"/>
      <c r="EW16" s="174"/>
      <c r="EX16" s="174"/>
      <c r="EY16" s="174"/>
      <c r="EZ16" s="174"/>
      <c r="FA16" s="174"/>
      <c r="FB16" s="174"/>
      <c r="FC16" s="174"/>
      <c r="FD16" s="174"/>
      <c r="FE16" s="174"/>
      <c r="FF16" s="174"/>
      <c r="FG16" s="174"/>
      <c r="FH16" s="174"/>
      <c r="FI16" s="174"/>
      <c r="FJ16" s="174"/>
      <c r="FK16" s="174"/>
      <c r="FL16" s="174"/>
      <c r="FM16" s="174"/>
      <c r="FN16" s="174"/>
      <c r="FO16" s="174"/>
      <c r="FP16" s="174"/>
      <c r="FQ16" s="174"/>
      <c r="FR16" s="174"/>
      <c r="FS16" s="174"/>
      <c r="FT16" s="174"/>
      <c r="FU16" s="174"/>
      <c r="FV16" s="174"/>
      <c r="FW16" s="174"/>
    </row>
    <row r="17" spans="1:179" s="175" customFormat="1" ht="9.75" customHeight="1" x14ac:dyDescent="0.15">
      <c r="A17" s="405" t="s">
        <v>143</v>
      </c>
      <c r="B17" s="176"/>
      <c r="C17" s="177"/>
      <c r="D17" s="634"/>
      <c r="E17" s="635"/>
      <c r="F17" s="423">
        <f>AE17</f>
        <v>645.21407384639997</v>
      </c>
      <c r="G17" s="424">
        <f>AJ17</f>
        <v>2973.800079061115</v>
      </c>
      <c r="H17" s="424">
        <f>AO17</f>
        <v>14635.734063503736</v>
      </c>
      <c r="I17" s="424">
        <f>AT17</f>
        <v>13830.253911684324</v>
      </c>
      <c r="J17" s="180">
        <f>SUM(J18-Z18)</f>
        <v>32085.002128095577</v>
      </c>
      <c r="K17" s="424">
        <f>AZ17</f>
        <v>12404.970838238041</v>
      </c>
      <c r="L17" s="424">
        <f>BE17</f>
        <v>15095.661321863005</v>
      </c>
      <c r="M17" s="424">
        <f>BJ17</f>
        <v>17432.633455423522</v>
      </c>
      <c r="N17" s="424">
        <f>BO17</f>
        <v>25770.675220324421</v>
      </c>
      <c r="O17" s="180">
        <f>SUM(O18-J18)</f>
        <v>70703.940835849004</v>
      </c>
      <c r="P17" s="424">
        <f>BU17</f>
        <v>37789.703950451483</v>
      </c>
      <c r="Q17" s="424">
        <f>BZ17</f>
        <v>56120.346099045142</v>
      </c>
      <c r="R17" s="424">
        <f>CE17</f>
        <v>85168.389875270295</v>
      </c>
      <c r="S17" s="424">
        <f>CJ17</f>
        <v>132126.48492844682</v>
      </c>
      <c r="T17" s="181">
        <f>SUM(T18-O18)</f>
        <v>311204.92485321377</v>
      </c>
      <c r="U17" s="184"/>
      <c r="V17" s="182">
        <f>SUM((V8+(T18*V14))-(T18*V15))</f>
        <v>493871.39548342582</v>
      </c>
      <c r="W17" s="180">
        <f>SUM((W8+(V18*W14))-(V18*W15))</f>
        <v>2025816.6269057351</v>
      </c>
      <c r="X17" s="183">
        <f>SUM((X8+(W18*X14))-(W18*X15))</f>
        <v>2813076.1818644488</v>
      </c>
      <c r="Y17" s="184"/>
      <c r="Z17" s="575">
        <v>1500</v>
      </c>
      <c r="AA17" s="614"/>
      <c r="AB17" s="533">
        <f>SUM((AB8+(Z18*AB14))-(Z18*AB15))</f>
        <v>514.4855</v>
      </c>
      <c r="AC17" s="424">
        <f>SUM((AC8+(AB18*AC14))-(AB18*AC15))</f>
        <v>108.04041154349989</v>
      </c>
      <c r="AD17" s="424">
        <f>SUM((AD8+(AC18*AD14))-(AC18*AD15))</f>
        <v>22.688162302900082</v>
      </c>
      <c r="AE17" s="180">
        <f t="shared" si="36"/>
        <v>645.21407384639997</v>
      </c>
      <c r="AF17" s="183"/>
      <c r="AG17" s="533">
        <f>SUM((AG8+(AD18*AG14))-(AD18*AG15))</f>
        <v>1483.7214068222552</v>
      </c>
      <c r="AH17" s="424">
        <f>SUM((AH8+(AG18*AH14))-(AG18*AH15))</f>
        <v>919.83088262875231</v>
      </c>
      <c r="AI17" s="424">
        <f>SUM((AI8+(AH18*AI14))-(AH18*AI15))</f>
        <v>570.24778961010725</v>
      </c>
      <c r="AJ17" s="180">
        <f t="shared" si="37"/>
        <v>2973.800079061115</v>
      </c>
      <c r="AK17" s="183"/>
      <c r="AL17" s="533">
        <f>SUM((AL8+(AI18*AL14))-(AI18*AL15))</f>
        <v>4855.2834933258746</v>
      </c>
      <c r="AM17" s="424">
        <f>SUM((AM8+(AL18*AM14))-(AL18*AM15))</f>
        <v>4878.5408859308372</v>
      </c>
      <c r="AN17" s="424">
        <f>SUM((AN8+(AM18*AN14))-(AM18*AN15))</f>
        <v>4901.9096842470253</v>
      </c>
      <c r="AO17" s="180">
        <f t="shared" si="38"/>
        <v>14635.734063503736</v>
      </c>
      <c r="AP17" s="183"/>
      <c r="AQ17" s="533">
        <f>SUM((AQ8+(AN18*AQ14))-(AN18*AQ15))</f>
        <v>4701.842867826701</v>
      </c>
      <c r="AR17" s="424">
        <f>SUM((AR8+(AQ18*AR14))-(AQ18*AR15))</f>
        <v>4609.4798440005652</v>
      </c>
      <c r="AS17" s="424">
        <f>SUM((AS8+(AR18*AS14))-(AR18*AS15))</f>
        <v>4518.9311998570574</v>
      </c>
      <c r="AT17" s="180">
        <f t="shared" si="39"/>
        <v>13830.253911684324</v>
      </c>
      <c r="AU17" s="183"/>
      <c r="AV17" s="614"/>
      <c r="AW17" s="533">
        <f>SUM((AW8+(AS18*AW14))-(AS18*AW15))</f>
        <v>4274.5921057795586</v>
      </c>
      <c r="AX17" s="424">
        <f>SUM((AX8+(AW18*AX14))-(AW18*AX15))</f>
        <v>4133.4365330576766</v>
      </c>
      <c r="AY17" s="424">
        <f>SUM((AY8+(AX18*AY14))-(AX18*AY15))</f>
        <v>3996.9421994008053</v>
      </c>
      <c r="AZ17" s="180">
        <f t="shared" si="40"/>
        <v>12404.970838238041</v>
      </c>
      <c r="BA17" s="183"/>
      <c r="BB17" s="533">
        <f>SUM((BB8+(AY18*BB14))-(AY18*BB15))</f>
        <v>5175.5888534389187</v>
      </c>
      <c r="BC17" s="424">
        <f>SUM((BC8+(BB18*BC14))-(BB18*BC15))</f>
        <v>5030.5319306796709</v>
      </c>
      <c r="BD17" s="424">
        <f>SUM((BD8+(BC18*BD14))-(BC18*BD15))</f>
        <v>4889.5405377444149</v>
      </c>
      <c r="BE17" s="180">
        <f t="shared" si="41"/>
        <v>15095.661321863005</v>
      </c>
      <c r="BF17" s="183"/>
      <c r="BG17" s="533">
        <f>SUM((BG8+(BD18*BG14))-(BD18*BG15))</f>
        <v>5922.8947808611538</v>
      </c>
      <c r="BH17" s="424">
        <f>SUM((BH8+(BG18*BH14))-(BG18*BH15))</f>
        <v>5810.1625969622346</v>
      </c>
      <c r="BI17" s="424">
        <f>SUM((BI8+(BH18*BI14))-(BH18*BI15))</f>
        <v>5699.5760776001352</v>
      </c>
      <c r="BJ17" s="180">
        <f t="shared" si="42"/>
        <v>17432.633455423522</v>
      </c>
      <c r="BK17" s="183"/>
      <c r="BL17" s="533">
        <f>SUM((BL8+(BI18*BL14))-(BI18*BL15))</f>
        <v>8677.0446630280512</v>
      </c>
      <c r="BM17" s="424">
        <f>SUM((BM8+(BL18*BM14))-(BL18*BM15))</f>
        <v>8589.9335631397353</v>
      </c>
      <c r="BN17" s="424">
        <f>SUM((BN8+(BM18*BN14))-(BM18*BN15))</f>
        <v>8503.6969941566349</v>
      </c>
      <c r="BO17" s="180">
        <f>SUM(BL17:BN17)</f>
        <v>25770.675220324421</v>
      </c>
      <c r="BP17" s="183"/>
      <c r="BQ17" s="184"/>
      <c r="BR17" s="533">
        <f>SUM((BR8+(BN18*BR14))-(BN18*BR15))</f>
        <v>12609.771495538345</v>
      </c>
      <c r="BS17" s="424">
        <f>SUM((BS8+(BR18*BS14))-(BR18*BS15))</f>
        <v>12596.563371860981</v>
      </c>
      <c r="BT17" s="424">
        <f>SUM((BT8+(BS18*BT14))-(BS18*BT15))</f>
        <v>12583.369083052159</v>
      </c>
      <c r="BU17" s="180">
        <f>SUM(BR17:BT17)</f>
        <v>37789.703950451483</v>
      </c>
      <c r="BV17" s="183"/>
      <c r="BW17" s="533">
        <f>SUM((BW8+(BT18*BW14))-(BT18*BW15))</f>
        <v>18559.00094844148</v>
      </c>
      <c r="BX17" s="424">
        <f>SUM((BX8+(BW18*BX14))-(BW18*BX15))</f>
        <v>18706.391852554443</v>
      </c>
      <c r="BY17" s="424">
        <f>SUM((BY8+(BX18*BY14))-(BX18*BY15))</f>
        <v>18854.953298049226</v>
      </c>
      <c r="BZ17" s="180">
        <f>SUM(BW17:BY17)</f>
        <v>56120.346099045142</v>
      </c>
      <c r="CA17" s="183"/>
      <c r="CB17" s="533">
        <f>SUM((CB8+(BY18*CB14))-(BY18*CB15))</f>
        <v>27914.273792046231</v>
      </c>
      <c r="CC17" s="424">
        <f>SUM((CC8+(CB18*CC14))-(CB18*CC15))</f>
        <v>28386.797054461975</v>
      </c>
      <c r="CD17" s="424">
        <f>SUM((CD8+(CC18*CD14))-(CC18*CD15))</f>
        <v>28867.319028762089</v>
      </c>
      <c r="CE17" s="180">
        <f>SUM(CB17:CD17)</f>
        <v>85168.389875270295</v>
      </c>
      <c r="CF17" s="183"/>
      <c r="CG17" s="533">
        <f>SUM((CG8+(CD18*CG14))-(CD18*CG15))</f>
        <v>42920.516072207669</v>
      </c>
      <c r="CH17" s="424">
        <f>SUM((CH8+(CG18*CH14))-(CG18*CH15))</f>
        <v>44032.557562305352</v>
      </c>
      <c r="CI17" s="424">
        <f>SUM((CI8+(CH18*CI14))-(CH18*CI15))</f>
        <v>45173.411293933823</v>
      </c>
      <c r="CJ17" s="180">
        <f>SUM(CG17:CI17)</f>
        <v>132126.48492844682</v>
      </c>
      <c r="CK17" s="183"/>
      <c r="CL17" s="174"/>
      <c r="CM17" s="174"/>
      <c r="CN17" s="174"/>
      <c r="CO17" s="174"/>
      <c r="CP17" s="174"/>
      <c r="CQ17" s="174"/>
      <c r="CR17" s="174"/>
      <c r="CS17" s="174"/>
      <c r="CT17" s="174"/>
      <c r="CU17" s="174"/>
      <c r="CV17" s="174"/>
      <c r="CW17" s="174"/>
      <c r="CX17" s="174"/>
      <c r="CY17" s="174"/>
      <c r="CZ17" s="174"/>
      <c r="DA17" s="174"/>
      <c r="DB17" s="174"/>
      <c r="DC17" s="174"/>
      <c r="DD17" s="174"/>
      <c r="DE17" s="174"/>
      <c r="DF17" s="174"/>
      <c r="DG17" s="174"/>
      <c r="DH17" s="174"/>
      <c r="DI17" s="174"/>
      <c r="DJ17" s="174"/>
      <c r="DK17" s="174"/>
      <c r="DL17" s="174"/>
      <c r="DM17" s="174"/>
      <c r="DN17" s="174"/>
      <c r="DO17" s="174"/>
      <c r="DP17" s="174"/>
      <c r="DQ17" s="174"/>
      <c r="DR17" s="174"/>
      <c r="DS17" s="174"/>
      <c r="DT17" s="174"/>
      <c r="DU17" s="174"/>
      <c r="DV17" s="174"/>
      <c r="DW17" s="174"/>
      <c r="DX17" s="174"/>
      <c r="DY17" s="174"/>
      <c r="DZ17" s="174"/>
      <c r="EA17" s="174"/>
      <c r="EB17" s="174"/>
      <c r="EC17" s="174"/>
      <c r="ED17" s="174"/>
      <c r="EE17" s="174"/>
      <c r="EF17" s="174"/>
      <c r="EG17" s="174"/>
      <c r="EH17" s="174"/>
      <c r="EI17" s="174"/>
      <c r="EJ17" s="174"/>
      <c r="EK17" s="174"/>
      <c r="EL17" s="174"/>
      <c r="EM17" s="174"/>
      <c r="EN17" s="174"/>
      <c r="EO17" s="174"/>
      <c r="EP17" s="174"/>
      <c r="EQ17" s="174"/>
      <c r="ER17" s="174"/>
      <c r="ES17" s="174"/>
      <c r="ET17" s="174"/>
      <c r="EU17" s="174"/>
      <c r="EV17" s="174"/>
      <c r="EW17" s="174"/>
      <c r="EX17" s="174"/>
      <c r="EY17" s="174"/>
      <c r="EZ17" s="174"/>
      <c r="FA17" s="174"/>
      <c r="FB17" s="174"/>
      <c r="FC17" s="174"/>
      <c r="FD17" s="174"/>
      <c r="FE17" s="174"/>
      <c r="FF17" s="174"/>
      <c r="FG17" s="174"/>
      <c r="FH17" s="174"/>
      <c r="FI17" s="174"/>
      <c r="FJ17" s="174"/>
      <c r="FK17" s="174"/>
      <c r="FL17" s="174"/>
      <c r="FM17" s="174"/>
      <c r="FN17" s="174"/>
      <c r="FO17" s="174"/>
      <c r="FP17" s="174"/>
      <c r="FQ17" s="174"/>
      <c r="FR17" s="174"/>
      <c r="FS17" s="174"/>
      <c r="FT17" s="174"/>
      <c r="FU17" s="174"/>
      <c r="FV17" s="174"/>
      <c r="FW17" s="174"/>
    </row>
    <row r="18" spans="1:179" s="57" customFormat="1" ht="9.75" customHeight="1" x14ac:dyDescent="0.15">
      <c r="A18" s="422" t="s">
        <v>217</v>
      </c>
      <c r="B18" s="185"/>
      <c r="C18" s="186"/>
      <c r="D18" s="636"/>
      <c r="E18" s="637"/>
      <c r="F18" s="423">
        <f>AE18</f>
        <v>2145.2140738464004</v>
      </c>
      <c r="G18" s="424">
        <f>AJ18</f>
        <v>5119.0141529075154</v>
      </c>
      <c r="H18" s="424">
        <f>AO18</f>
        <v>19754.748216411252</v>
      </c>
      <c r="I18" s="424">
        <f>AT18</f>
        <v>33585.002128095577</v>
      </c>
      <c r="J18" s="180">
        <f>AS18</f>
        <v>33585.002128095577</v>
      </c>
      <c r="K18" s="424">
        <f>AZ18</f>
        <v>45989.972966333618</v>
      </c>
      <c r="L18" s="424">
        <f>BE18</f>
        <v>61085.634288196627</v>
      </c>
      <c r="M18" s="424">
        <f>BJ18</f>
        <v>78518.267743620163</v>
      </c>
      <c r="N18" s="424">
        <f>BO18</f>
        <v>104288.94296394459</v>
      </c>
      <c r="O18" s="180">
        <f>BN18</f>
        <v>104288.94296394459</v>
      </c>
      <c r="P18" s="424">
        <f>BU18</f>
        <v>142078.64691439606</v>
      </c>
      <c r="Q18" s="424">
        <f>BZ18</f>
        <v>198198.99301344121</v>
      </c>
      <c r="R18" s="424">
        <f>CE18</f>
        <v>283367.38288871152</v>
      </c>
      <c r="S18" s="424">
        <f>CJ18</f>
        <v>415493.86781715835</v>
      </c>
      <c r="T18" s="181">
        <f>CI18</f>
        <v>415493.86781715835</v>
      </c>
      <c r="U18" s="184"/>
      <c r="V18" s="182">
        <f>SUM(T18+V17)</f>
        <v>909365.26330058416</v>
      </c>
      <c r="W18" s="180">
        <f>SUM(V18+W17)</f>
        <v>2935181.8902063193</v>
      </c>
      <c r="X18" s="183">
        <f>SUM(W18+X17)</f>
        <v>5748258.0720707681</v>
      </c>
      <c r="Y18" s="184"/>
      <c r="Z18" s="576">
        <v>1500</v>
      </c>
      <c r="AA18" s="614"/>
      <c r="AB18" s="533">
        <f>SUM(Z18+AB17)</f>
        <v>2014.4855</v>
      </c>
      <c r="AC18" s="424">
        <f>SUM(AB18+AC17)</f>
        <v>2122.5259115435001</v>
      </c>
      <c r="AD18" s="424">
        <f>SUM(AC18+AD17)</f>
        <v>2145.2140738464004</v>
      </c>
      <c r="AE18" s="180">
        <f>AD18</f>
        <v>2145.2140738464004</v>
      </c>
      <c r="AF18" s="183"/>
      <c r="AG18" s="533">
        <f>SUM(AD18+AG17)</f>
        <v>3628.9354806686556</v>
      </c>
      <c r="AH18" s="424">
        <f>SUM(AG18+AH17)</f>
        <v>4548.7663632974081</v>
      </c>
      <c r="AI18" s="424">
        <f>SUM(AH18+AI17)</f>
        <v>5119.0141529075154</v>
      </c>
      <c r="AJ18" s="180">
        <f>AI18</f>
        <v>5119.0141529075154</v>
      </c>
      <c r="AK18" s="183"/>
      <c r="AL18" s="533">
        <f>SUM(AI18+AL17)</f>
        <v>9974.29764623339</v>
      </c>
      <c r="AM18" s="424">
        <f>SUM(AL18+AM17)</f>
        <v>14852.838532164227</v>
      </c>
      <c r="AN18" s="424">
        <f>SUM(AM18+AN17)</f>
        <v>19754.748216411252</v>
      </c>
      <c r="AO18" s="180">
        <f>AN18</f>
        <v>19754.748216411252</v>
      </c>
      <c r="AP18" s="183"/>
      <c r="AQ18" s="533">
        <f>SUM(AN18+AQ17)</f>
        <v>24456.591084237953</v>
      </c>
      <c r="AR18" s="424">
        <f>SUM(AQ18+AR17)</f>
        <v>29066.070928238518</v>
      </c>
      <c r="AS18" s="424">
        <f>SUM(AR18+AS17)</f>
        <v>33585.002128095577</v>
      </c>
      <c r="AT18" s="180">
        <f>AS18</f>
        <v>33585.002128095577</v>
      </c>
      <c r="AU18" s="183"/>
      <c r="AV18" s="614"/>
      <c r="AW18" s="533">
        <f>SUM(AS18+AW17)</f>
        <v>37859.594233875134</v>
      </c>
      <c r="AX18" s="424">
        <f>SUM(AW18+AX17)</f>
        <v>41993.03076693281</v>
      </c>
      <c r="AY18" s="424">
        <f>SUM(AX18+AY17)</f>
        <v>45989.972966333618</v>
      </c>
      <c r="AZ18" s="180">
        <f>AY18</f>
        <v>45989.972966333618</v>
      </c>
      <c r="BA18" s="183"/>
      <c r="BB18" s="533">
        <f>SUM(AY18+BB17)</f>
        <v>51165.561819772534</v>
      </c>
      <c r="BC18" s="424">
        <f>SUM(BB18+BC17)</f>
        <v>56196.093750452208</v>
      </c>
      <c r="BD18" s="424">
        <f>SUM(BC18+BD17)</f>
        <v>61085.634288196627</v>
      </c>
      <c r="BE18" s="180">
        <f>BD18</f>
        <v>61085.634288196627</v>
      </c>
      <c r="BF18" s="183"/>
      <c r="BG18" s="533">
        <f>SUM(BD18+BG17)</f>
        <v>67008.529069057782</v>
      </c>
      <c r="BH18" s="424">
        <f>SUM(BG18+BH17)</f>
        <v>72818.691666020022</v>
      </c>
      <c r="BI18" s="424">
        <f>SUM(BH18+BI17)</f>
        <v>78518.267743620163</v>
      </c>
      <c r="BJ18" s="180">
        <f>BI18</f>
        <v>78518.267743620163</v>
      </c>
      <c r="BK18" s="183"/>
      <c r="BL18" s="533">
        <f>SUM(BI18+BL17)</f>
        <v>87195.312406648212</v>
      </c>
      <c r="BM18" s="424">
        <f>SUM(BL18+BM17)</f>
        <v>95785.245969787953</v>
      </c>
      <c r="BN18" s="424">
        <f>SUM(BM18+BN17)</f>
        <v>104288.94296394459</v>
      </c>
      <c r="BO18" s="180">
        <f>BN18</f>
        <v>104288.94296394459</v>
      </c>
      <c r="BP18" s="183"/>
      <c r="BQ18" s="184"/>
      <c r="BR18" s="533">
        <f>SUM(BO18+BR17)</f>
        <v>116898.71445948293</v>
      </c>
      <c r="BS18" s="424">
        <f>SUM(BR18+BS17)</f>
        <v>129495.2778313439</v>
      </c>
      <c r="BT18" s="424">
        <f>SUM(BS18+BT17)</f>
        <v>142078.64691439606</v>
      </c>
      <c r="BU18" s="180">
        <f>BT18</f>
        <v>142078.64691439606</v>
      </c>
      <c r="BV18" s="183"/>
      <c r="BW18" s="533">
        <f>SUM(BT18+BW17)</f>
        <v>160637.64786283753</v>
      </c>
      <c r="BX18" s="424">
        <f>SUM(BW18+BX17)</f>
        <v>179344.03971539199</v>
      </c>
      <c r="BY18" s="424">
        <f>SUM(BX18+BY17)</f>
        <v>198198.99301344121</v>
      </c>
      <c r="BZ18" s="180">
        <f>BY18</f>
        <v>198198.99301344121</v>
      </c>
      <c r="CA18" s="183"/>
      <c r="CB18" s="533">
        <f>SUM(BY18+CB17)</f>
        <v>226113.26680548745</v>
      </c>
      <c r="CC18" s="424">
        <f>SUM(CB18+CC17)</f>
        <v>254500.06385994941</v>
      </c>
      <c r="CD18" s="424">
        <f>SUM(CC18+CD17)</f>
        <v>283367.38288871152</v>
      </c>
      <c r="CE18" s="180">
        <f>CD18</f>
        <v>283367.38288871152</v>
      </c>
      <c r="CF18" s="183"/>
      <c r="CG18" s="533">
        <f>SUM(CD18+CG17)</f>
        <v>326287.89896091918</v>
      </c>
      <c r="CH18" s="424">
        <f>SUM(CG18+CH17)</f>
        <v>370320.45652322454</v>
      </c>
      <c r="CI18" s="424">
        <f>SUM(CH18+CI17)</f>
        <v>415493.86781715835</v>
      </c>
      <c r="CJ18" s="180">
        <f>CI18</f>
        <v>415493.86781715835</v>
      </c>
      <c r="CK18" s="183"/>
      <c r="CL18" s="55"/>
      <c r="CM18" s="55"/>
      <c r="CN18" s="55"/>
      <c r="CO18" s="55"/>
      <c r="CP18" s="55"/>
      <c r="CQ18" s="55"/>
      <c r="CR18" s="55"/>
      <c r="CS18" s="55"/>
      <c r="CT18" s="55"/>
      <c r="CU18" s="55"/>
      <c r="CV18" s="55"/>
      <c r="CW18" s="55"/>
      <c r="CX18" s="55"/>
      <c r="CY18" s="55"/>
      <c r="CZ18" s="55"/>
      <c r="DA18" s="55"/>
      <c r="DB18" s="55"/>
      <c r="DC18" s="55"/>
      <c r="DD18" s="55"/>
      <c r="DE18" s="55"/>
      <c r="DF18" s="55"/>
      <c r="DG18" s="55"/>
      <c r="DH18" s="55"/>
      <c r="DI18" s="55"/>
      <c r="DJ18" s="55"/>
      <c r="DK18" s="55"/>
      <c r="DL18" s="55"/>
      <c r="DM18" s="55"/>
      <c r="DN18" s="55"/>
      <c r="DO18" s="55"/>
      <c r="DP18" s="55"/>
      <c r="DQ18" s="55"/>
      <c r="DR18" s="55"/>
      <c r="DS18" s="55"/>
      <c r="DT18" s="55"/>
      <c r="DU18" s="55"/>
      <c r="DV18" s="55"/>
      <c r="DW18" s="55"/>
      <c r="DX18" s="55"/>
      <c r="DY18" s="55"/>
      <c r="DZ18" s="55"/>
      <c r="EA18" s="55"/>
      <c r="EB18" s="55"/>
      <c r="EC18" s="55"/>
      <c r="ED18" s="55"/>
      <c r="EE18" s="55"/>
      <c r="EF18" s="55"/>
      <c r="EG18" s="55"/>
      <c r="EH18" s="55"/>
      <c r="EI18" s="55"/>
      <c r="EJ18" s="55"/>
      <c r="EK18" s="55"/>
      <c r="EL18" s="55"/>
      <c r="EM18" s="55"/>
      <c r="EN18" s="55"/>
      <c r="EO18" s="55"/>
      <c r="EP18" s="55"/>
      <c r="EQ18" s="55"/>
      <c r="ER18" s="55"/>
      <c r="ES18" s="55"/>
      <c r="ET18" s="55"/>
      <c r="EU18" s="55"/>
      <c r="EV18" s="55"/>
      <c r="EW18" s="55"/>
      <c r="EX18" s="55"/>
      <c r="EY18" s="55"/>
      <c r="EZ18" s="55"/>
      <c r="FA18" s="55"/>
      <c r="FB18" s="55"/>
      <c r="FC18" s="55"/>
      <c r="FD18" s="55"/>
      <c r="FE18" s="55"/>
      <c r="FF18" s="55"/>
      <c r="FG18" s="55"/>
      <c r="FH18" s="55"/>
      <c r="FI18" s="55"/>
      <c r="FJ18" s="55"/>
      <c r="FK18" s="55"/>
      <c r="FL18" s="55"/>
      <c r="FM18" s="55"/>
      <c r="FN18" s="55"/>
      <c r="FO18" s="55"/>
      <c r="FP18" s="55"/>
      <c r="FQ18" s="55"/>
      <c r="FR18" s="55"/>
      <c r="FS18" s="55"/>
      <c r="FT18" s="55"/>
      <c r="FU18" s="55"/>
      <c r="FV18" s="55"/>
      <c r="FW18" s="55"/>
    </row>
    <row r="19" spans="1:179" s="55" customFormat="1" ht="4.5" customHeight="1" x14ac:dyDescent="0.15">
      <c r="A19" s="189"/>
      <c r="B19" s="190"/>
      <c r="C19" s="191"/>
      <c r="D19" s="192"/>
      <c r="E19" s="193"/>
      <c r="F19" s="194"/>
      <c r="G19" s="195"/>
      <c r="H19" s="195"/>
      <c r="I19" s="195"/>
      <c r="J19" s="196"/>
      <c r="K19" s="195"/>
      <c r="L19" s="195"/>
      <c r="M19" s="195"/>
      <c r="N19" s="195"/>
      <c r="O19" s="196"/>
      <c r="P19" s="195"/>
      <c r="Q19" s="195"/>
      <c r="R19" s="195"/>
      <c r="S19" s="195"/>
      <c r="T19" s="197"/>
      <c r="U19" s="199"/>
      <c r="V19" s="190"/>
      <c r="W19" s="195"/>
      <c r="X19" s="198"/>
      <c r="Y19" s="199"/>
      <c r="Z19" s="564"/>
      <c r="AA19" s="615"/>
      <c r="AB19" s="593"/>
      <c r="AC19" s="200"/>
      <c r="AD19" s="200"/>
      <c r="AE19" s="200"/>
      <c r="AF19" s="201"/>
      <c r="AG19" s="593"/>
      <c r="AH19" s="200"/>
      <c r="AI19" s="200"/>
      <c r="AJ19" s="200"/>
      <c r="AK19" s="201"/>
      <c r="AL19" s="593"/>
      <c r="AM19" s="200"/>
      <c r="AN19" s="200"/>
      <c r="AO19" s="200"/>
      <c r="AP19" s="201"/>
      <c r="AQ19" s="593"/>
      <c r="AR19" s="200"/>
      <c r="AS19" s="200"/>
      <c r="AT19" s="200"/>
      <c r="AU19" s="201"/>
      <c r="AV19" s="615"/>
      <c r="AW19" s="593"/>
      <c r="AX19" s="200"/>
      <c r="AY19" s="200"/>
      <c r="AZ19" s="200"/>
      <c r="BA19" s="201"/>
      <c r="BB19" s="593"/>
      <c r="BC19" s="200"/>
      <c r="BD19" s="200"/>
      <c r="BE19" s="200"/>
      <c r="BF19" s="201"/>
      <c r="BG19" s="593"/>
      <c r="BH19" s="200"/>
      <c r="BI19" s="200"/>
      <c r="BJ19" s="200"/>
      <c r="BK19" s="201"/>
      <c r="BL19" s="593"/>
      <c r="BM19" s="200"/>
      <c r="BN19" s="200"/>
      <c r="BO19" s="200"/>
      <c r="BP19" s="201"/>
      <c r="BQ19" s="199"/>
      <c r="BR19" s="593"/>
      <c r="BS19" s="200"/>
      <c r="BT19" s="200"/>
      <c r="BU19" s="200"/>
      <c r="BV19" s="201"/>
      <c r="BW19" s="593"/>
      <c r="BX19" s="200"/>
      <c r="BY19" s="200"/>
      <c r="BZ19" s="200"/>
      <c r="CA19" s="201"/>
      <c r="CB19" s="593"/>
      <c r="CC19" s="200"/>
      <c r="CD19" s="200"/>
      <c r="CE19" s="200"/>
      <c r="CF19" s="201"/>
      <c r="CG19" s="593"/>
      <c r="CH19" s="200"/>
      <c r="CI19" s="200"/>
      <c r="CJ19" s="200"/>
      <c r="CK19" s="201"/>
    </row>
    <row r="20" spans="1:179" s="57" customFormat="1" ht="9.75" customHeight="1" x14ac:dyDescent="0.15">
      <c r="A20" s="486" t="s">
        <v>218</v>
      </c>
      <c r="B20" s="125"/>
      <c r="C20" s="202"/>
      <c r="D20" s="630"/>
      <c r="E20" s="631"/>
      <c r="F20" s="497"/>
      <c r="G20" s="496"/>
      <c r="H20" s="496"/>
      <c r="I20" s="496"/>
      <c r="J20" s="205"/>
      <c r="K20" s="496"/>
      <c r="L20" s="496"/>
      <c r="M20" s="496"/>
      <c r="N20" s="496"/>
      <c r="O20" s="205"/>
      <c r="P20" s="496"/>
      <c r="Q20" s="496"/>
      <c r="R20" s="496"/>
      <c r="S20" s="496"/>
      <c r="T20" s="206"/>
      <c r="U20" s="209"/>
      <c r="V20" s="207"/>
      <c r="W20" s="205"/>
      <c r="X20" s="208"/>
      <c r="Y20" s="209"/>
      <c r="Z20" s="577"/>
      <c r="AA20" s="616"/>
      <c r="AB20" s="594"/>
      <c r="AC20" s="490"/>
      <c r="AD20" s="490"/>
      <c r="AE20" s="490"/>
      <c r="AF20" s="212"/>
      <c r="AG20" s="594"/>
      <c r="AH20" s="490"/>
      <c r="AI20" s="490"/>
      <c r="AJ20" s="490"/>
      <c r="AK20" s="212"/>
      <c r="AL20" s="594"/>
      <c r="AM20" s="490"/>
      <c r="AN20" s="490"/>
      <c r="AO20" s="490"/>
      <c r="AP20" s="212"/>
      <c r="AQ20" s="594"/>
      <c r="AR20" s="490"/>
      <c r="AS20" s="490"/>
      <c r="AT20" s="490"/>
      <c r="AU20" s="212"/>
      <c r="AV20" s="616"/>
      <c r="AW20" s="594"/>
      <c r="AX20" s="490"/>
      <c r="AY20" s="490"/>
      <c r="AZ20" s="490"/>
      <c r="BA20" s="212"/>
      <c r="BB20" s="594"/>
      <c r="BC20" s="490"/>
      <c r="BD20" s="490"/>
      <c r="BE20" s="490"/>
      <c r="BF20" s="212"/>
      <c r="BG20" s="594"/>
      <c r="BH20" s="490"/>
      <c r="BI20" s="490"/>
      <c r="BJ20" s="490"/>
      <c r="BK20" s="212"/>
      <c r="BL20" s="594"/>
      <c r="BM20" s="490"/>
      <c r="BN20" s="490"/>
      <c r="BO20" s="490"/>
      <c r="BP20" s="212"/>
      <c r="BQ20" s="209"/>
      <c r="BR20" s="594"/>
      <c r="BS20" s="490"/>
      <c r="BT20" s="490"/>
      <c r="BU20" s="490"/>
      <c r="BV20" s="212"/>
      <c r="BW20" s="594"/>
      <c r="BX20" s="490"/>
      <c r="BY20" s="490"/>
      <c r="BZ20" s="490"/>
      <c r="CA20" s="212"/>
      <c r="CB20" s="594"/>
      <c r="CC20" s="490"/>
      <c r="CD20" s="490"/>
      <c r="CE20" s="490"/>
      <c r="CF20" s="212"/>
      <c r="CG20" s="594"/>
      <c r="CH20" s="490"/>
      <c r="CI20" s="490"/>
      <c r="CJ20" s="490"/>
      <c r="CK20" s="212"/>
      <c r="CL20" s="55"/>
      <c r="CM20" s="55"/>
      <c r="CN20" s="55"/>
      <c r="CO20" s="55"/>
      <c r="CP20" s="55"/>
      <c r="CQ20" s="55"/>
      <c r="CR20" s="55"/>
      <c r="CS20" s="55"/>
      <c r="CT20" s="55"/>
      <c r="CU20" s="55"/>
      <c r="CV20" s="55"/>
      <c r="CW20" s="55"/>
      <c r="CX20" s="55"/>
      <c r="CY20" s="55"/>
      <c r="CZ20" s="55"/>
      <c r="DA20" s="55"/>
      <c r="DB20" s="55"/>
      <c r="DC20" s="55"/>
      <c r="DD20" s="55"/>
      <c r="DE20" s="55"/>
      <c r="DF20" s="55"/>
      <c r="DG20" s="55"/>
      <c r="DH20" s="55"/>
      <c r="DI20" s="55"/>
      <c r="DJ20" s="55"/>
      <c r="DK20" s="55"/>
      <c r="DL20" s="55"/>
      <c r="DM20" s="55"/>
      <c r="DN20" s="55"/>
      <c r="DO20" s="55"/>
      <c r="DP20" s="55"/>
      <c r="DQ20" s="55"/>
      <c r="DR20" s="55"/>
      <c r="DS20" s="55"/>
      <c r="DT20" s="55"/>
      <c r="DU20" s="55"/>
      <c r="DV20" s="55"/>
      <c r="DW20" s="55"/>
      <c r="DX20" s="55"/>
      <c r="DY20" s="55"/>
      <c r="DZ20" s="55"/>
      <c r="EA20" s="55"/>
      <c r="EB20" s="55"/>
      <c r="EC20" s="55"/>
      <c r="ED20" s="55"/>
      <c r="EE20" s="55"/>
      <c r="EF20" s="55"/>
      <c r="EG20" s="55"/>
      <c r="EH20" s="55"/>
      <c r="EI20" s="55"/>
      <c r="EJ20" s="55"/>
      <c r="EK20" s="55"/>
      <c r="EL20" s="55"/>
      <c r="EM20" s="55"/>
      <c r="EN20" s="55"/>
      <c r="EO20" s="55"/>
      <c r="EP20" s="55"/>
      <c r="EQ20" s="55"/>
      <c r="ER20" s="55"/>
      <c r="ES20" s="55"/>
      <c r="ET20" s="55"/>
      <c r="EU20" s="55"/>
      <c r="EV20" s="55"/>
      <c r="EW20" s="55"/>
      <c r="EX20" s="55"/>
      <c r="EY20" s="55"/>
      <c r="EZ20" s="55"/>
      <c r="FA20" s="55"/>
      <c r="FB20" s="55"/>
      <c r="FC20" s="55"/>
      <c r="FD20" s="55"/>
      <c r="FE20" s="55"/>
      <c r="FF20" s="55"/>
      <c r="FG20" s="55"/>
      <c r="FH20" s="55"/>
      <c r="FI20" s="55"/>
      <c r="FJ20" s="55"/>
      <c r="FK20" s="55"/>
      <c r="FL20" s="55"/>
      <c r="FM20" s="55"/>
      <c r="FN20" s="55"/>
      <c r="FO20" s="55"/>
      <c r="FP20" s="55"/>
      <c r="FQ20" s="55"/>
      <c r="FR20" s="55"/>
      <c r="FS20" s="55"/>
      <c r="FT20" s="55"/>
      <c r="FU20" s="55"/>
      <c r="FV20" s="55"/>
      <c r="FW20" s="55"/>
    </row>
    <row r="21" spans="1:179" s="57" customFormat="1" ht="9.75" customHeight="1" x14ac:dyDescent="0.15">
      <c r="A21" s="468" t="s">
        <v>144</v>
      </c>
      <c r="B21" s="213">
        <v>0.3</v>
      </c>
      <c r="C21" s="299">
        <v>0.06</v>
      </c>
      <c r="D21" s="224"/>
      <c r="E21" s="225"/>
      <c r="F21" s="215">
        <v>0</v>
      </c>
      <c r="G21" s="216">
        <v>0</v>
      </c>
      <c r="H21" s="493">
        <f>SUM(IF(ISBLANK(D21),B21,D21))</f>
        <v>0.3</v>
      </c>
      <c r="I21" s="493">
        <f>SUM(IF((1*(IF(ISBLANK(E21),C21,E21)))+IF(ISBLANK(D21),B21,D21) &lt; 0, 0, (1*(IF(ISBLANK(E21),C21,E21)))+IF(ISBLANK(D21),B21,D21)))</f>
        <v>0.36</v>
      </c>
      <c r="J21" s="217">
        <f>SUM(AE21+AJ21+AO21+AT21)</f>
        <v>44733.324409048597</v>
      </c>
      <c r="K21" s="493">
        <f>SUM(IF((2*(IF(ISBLANK(E21),C21,E21)))+IF(ISBLANK(D21),B21,D21) &lt; 0, 0, (2*(IF(ISBLANK(E21),C21,E21)))+IF(ISBLANK(D21),B21,D21)))</f>
        <v>0.42</v>
      </c>
      <c r="L21" s="493">
        <f>SUM(IF((3*(IF(ISBLANK(E21),C21,E21)))+IF(ISBLANK(D21),B21,D21) &lt; 0, 0, (3*(IF(ISBLANK(E21),C21,E21)))+IF(ISBLANK(D21),B21,D21)))</f>
        <v>0.48</v>
      </c>
      <c r="M21" s="493">
        <f>SUM(IF((4*(IF(ISBLANK(E21),C21,E21)))+IF(ISBLANK(D21),B21,D21) &lt; 0, 0, (4*(IF(ISBLANK(E21),C21,E21)))+IF(ISBLANK(D21),B21,D21)))</f>
        <v>0.54</v>
      </c>
      <c r="N21" s="493">
        <f>SUM(IF((5*(IF(ISBLANK(E21),C21,E21)))+IF(ISBLANK(D21),B21,D21) &lt; 0, 0, (5*(IF(ISBLANK(E21),C21,E21)))+IF(ISBLANK(D21),B21,D21)))</f>
        <v>0.6</v>
      </c>
      <c r="O21" s="217">
        <f>SUM(AZ21+BE21+BJ21+BO21)</f>
        <v>423976.85486096708</v>
      </c>
      <c r="P21" s="493">
        <f>SUM(IF((6*(IF(ISBLANK(E21),C21,E21)))+IF(ISBLANK(D21),B21,D21) &lt; 0, 0, (6*(IF(ISBLANK(E21),C21,E21)))+IF(ISBLANK(D21),B21,D21)))</f>
        <v>0.65999999999999992</v>
      </c>
      <c r="Q21" s="493">
        <f>SUM(IF((7*(IF(ISBLANK(E21),C21,E21)))+IF(ISBLANK(D21),B21,D21) &lt; 0, 0, (7*(IF(ISBLANK(E21),C21,E21)))+IF(ISBLANK(D21),B21,D21)))</f>
        <v>0.72</v>
      </c>
      <c r="R21" s="493">
        <f>SUM(IF((8*(IF(ISBLANK(E21),C21,E21)))+IF(ISBLANK(D21),B21,D21) &lt; 0, 0, (8*(IF(ISBLANK(E21),C21,E21)))+IF(ISBLANK(D21),B21,D21)))</f>
        <v>0.78</v>
      </c>
      <c r="S21" s="493">
        <f>SUM(IF((9*(IF(ISBLANK(E21),C21,E21)))+IF(ISBLANK(D21),B21,D21) &lt; 0, 0, (9*(IF(ISBLANK(E21),C21,E21)))+IF(ISBLANK(D21),B21,D21)))</f>
        <v>0.84000000000000008</v>
      </c>
      <c r="T21" s="218">
        <f>SUM(BU21+BZ21+CE21+CJ21)</f>
        <v>2173952.8560467795</v>
      </c>
      <c r="U21" s="247"/>
      <c r="V21" s="213">
        <f>SUM(IF((11*(IF(ISBLANK(E21),C21,E21)))+IF(ISBLANK(D21),B21,D21) &lt; 0, 0, (11*(IF(ISBLANK(E21),C21,E21)))+IF(ISBLANK(D21),B21,D21)))*12</f>
        <v>11.52</v>
      </c>
      <c r="W21" s="219">
        <f>SUM(IF((13*(IF(ISBLANK(E21),C21,E21)))+IF(ISBLANK(D21),B21,D21) &lt; 0, 0, (13*(IF(ISBLANK(E21),C21,E21)))+IF(ISBLANK(D21),B21,D21)))*12</f>
        <v>12.96</v>
      </c>
      <c r="X21" s="220">
        <f>SUM(IF((15*(IF(ISBLANK(E21),C21,E21)))+IF(ISBLANK(D21),B21,D21) &lt; 0, 0, (15*(IF(ISBLANK(E21),C21,E21)))+IF(ISBLANK(D21),B21,D21)))*12</f>
        <v>14.399999999999999</v>
      </c>
      <c r="Y21" s="221"/>
      <c r="Z21" s="578">
        <v>0</v>
      </c>
      <c r="AA21" s="617"/>
      <c r="AB21" s="532">
        <f>SUM(AB18*F21)</f>
        <v>0</v>
      </c>
      <c r="AC21" s="492">
        <f>SUM(AC18*F21)</f>
        <v>0</v>
      </c>
      <c r="AD21" s="492">
        <f>SUM(AD18*F21)</f>
        <v>0</v>
      </c>
      <c r="AE21" s="492">
        <f t="shared" ref="AE21:AE29" si="70">SUM(AB21:AD21)</f>
        <v>0</v>
      </c>
      <c r="AF21" s="222"/>
      <c r="AG21" s="532">
        <f>SUM(AG18*G21)</f>
        <v>0</v>
      </c>
      <c r="AH21" s="492">
        <f>SUM(AH18*G21)</f>
        <v>0</v>
      </c>
      <c r="AI21" s="492">
        <f>SUM(AI18*G21)</f>
        <v>0</v>
      </c>
      <c r="AJ21" s="492">
        <f t="shared" ref="AJ21:AJ29" si="71">SUM(AG21:AI21)</f>
        <v>0</v>
      </c>
      <c r="AK21" s="222"/>
      <c r="AL21" s="532">
        <f t="shared" ref="AL21:AL28" si="72">SUM(AL18*H21)</f>
        <v>2992.289293870017</v>
      </c>
      <c r="AM21" s="492">
        <f t="shared" ref="AM21:AM28" si="73">SUM(AM18*H21)</f>
        <v>4455.851559649268</v>
      </c>
      <c r="AN21" s="492">
        <f t="shared" ref="AN21:AN28" si="74">SUM(AN18*H21)</f>
        <v>5926.4244649233751</v>
      </c>
      <c r="AO21" s="492">
        <f t="shared" ref="AO21:AO29" si="75">SUM(AL21:AN21)</f>
        <v>13374.565318442659</v>
      </c>
      <c r="AP21" s="222"/>
      <c r="AQ21" s="532">
        <f>SUM(AQ18*I21)</f>
        <v>8804.3727903256622</v>
      </c>
      <c r="AR21" s="492">
        <f>SUM(AR18*I21)</f>
        <v>10463.785534165867</v>
      </c>
      <c r="AS21" s="492">
        <f>SUM(AS18*I21)</f>
        <v>12090.600766114407</v>
      </c>
      <c r="AT21" s="492">
        <f t="shared" ref="AT21:AT29" si="76">SUM(AQ21:AS21)</f>
        <v>31358.759090605938</v>
      </c>
      <c r="AU21" s="222"/>
      <c r="AV21" s="617"/>
      <c r="AW21" s="532">
        <f>SUM(AW18*K21)</f>
        <v>15901.029578227555</v>
      </c>
      <c r="AX21" s="492">
        <f>SUM(AX18*K21)</f>
        <v>17637.07292211178</v>
      </c>
      <c r="AY21" s="492">
        <f>SUM(AY18*K21)</f>
        <v>19315.788645860121</v>
      </c>
      <c r="AZ21" s="492">
        <f t="shared" ref="AZ21:AZ29" si="77">SUM(AW21:AY21)</f>
        <v>52853.891146199458</v>
      </c>
      <c r="BA21" s="222"/>
      <c r="BB21" s="532">
        <f>SUM(BB18*L21)</f>
        <v>24559.469673490814</v>
      </c>
      <c r="BC21" s="492">
        <f>SUM(BC18*L21)</f>
        <v>26974.12500021706</v>
      </c>
      <c r="BD21" s="492">
        <f>SUM(BD18*L21)</f>
        <v>29321.104458334379</v>
      </c>
      <c r="BE21" s="492">
        <f t="shared" ref="BE21:BE29" si="78">SUM(BB21:BD21)</f>
        <v>80854.699132042253</v>
      </c>
      <c r="BF21" s="222"/>
      <c r="BG21" s="532">
        <f>SUM(BG18*M21)</f>
        <v>36184.605697291205</v>
      </c>
      <c r="BH21" s="492">
        <f>SUM(BH18*M21)</f>
        <v>39322.093499650815</v>
      </c>
      <c r="BI21" s="492">
        <f>SUM(BI18*M21)</f>
        <v>42399.864581554888</v>
      </c>
      <c r="BJ21" s="492">
        <f t="shared" ref="BJ21:BJ29" si="79">SUM(BG21:BI21)</f>
        <v>117906.5637784969</v>
      </c>
      <c r="BK21" s="222"/>
      <c r="BL21" s="532">
        <f>SUM(BL18*N21)</f>
        <v>52317.187443988929</v>
      </c>
      <c r="BM21" s="492">
        <f>SUM(BM18*N21)</f>
        <v>57471.14758187277</v>
      </c>
      <c r="BN21" s="492">
        <f>SUM(BN18*N21)</f>
        <v>62573.365778366751</v>
      </c>
      <c r="BO21" s="492">
        <f t="shared" ref="BO21:BO29" si="80">SUM(BL21:BN21)</f>
        <v>172361.70080422846</v>
      </c>
      <c r="BP21" s="222"/>
      <c r="BQ21" s="221"/>
      <c r="BR21" s="532">
        <f>SUM(BR18*P21)</f>
        <v>77153.151543258718</v>
      </c>
      <c r="BS21" s="492">
        <f>SUM(BS18*P21)</f>
        <v>85466.883368686962</v>
      </c>
      <c r="BT21" s="492">
        <f>SUM(BT18*P21)</f>
        <v>93771.906963501388</v>
      </c>
      <c r="BU21" s="492">
        <f t="shared" ref="BU21:BU29" si="81">SUM(BR21:BT21)</f>
        <v>256391.94187544708</v>
      </c>
      <c r="BV21" s="222"/>
      <c r="BW21" s="532">
        <f>SUM(BW18*Q21)</f>
        <v>115659.10646124302</v>
      </c>
      <c r="BX21" s="492">
        <f>SUM(BX18*Q21)</f>
        <v>129127.70859508222</v>
      </c>
      <c r="BY21" s="492">
        <f>SUM(BY18*Q21)</f>
        <v>142703.27496967767</v>
      </c>
      <c r="BZ21" s="492">
        <f t="shared" ref="BZ21:BZ29" si="82">SUM(BW21:BY21)</f>
        <v>387490.0900260029</v>
      </c>
      <c r="CA21" s="222"/>
      <c r="CB21" s="532">
        <f>SUM(CB18*R21)</f>
        <v>176368.34810828022</v>
      </c>
      <c r="CC21" s="492">
        <f>SUM(CC18*R21)</f>
        <v>198510.04981076054</v>
      </c>
      <c r="CD21" s="492">
        <f>SUM(CD18*R21)</f>
        <v>221026.55865319498</v>
      </c>
      <c r="CE21" s="492">
        <f t="shared" ref="CE21:CE29" si="83">SUM(CB21:CD21)</f>
        <v>595904.95657223579</v>
      </c>
      <c r="CF21" s="222"/>
      <c r="CG21" s="532">
        <f>SUM(CG18*S21)</f>
        <v>274081.83512717212</v>
      </c>
      <c r="CH21" s="492">
        <f>SUM(CH18*S21)</f>
        <v>311069.18347950862</v>
      </c>
      <c r="CI21" s="492">
        <f>SUM(CI18*S21)</f>
        <v>349014.84896641306</v>
      </c>
      <c r="CJ21" s="492">
        <f t="shared" ref="CJ21:CJ29" si="84">SUM(CG21:CI21)</f>
        <v>934165.86757309374</v>
      </c>
      <c r="CK21" s="222"/>
      <c r="CL21" s="55"/>
      <c r="CM21" s="55"/>
      <c r="CN21" s="55"/>
      <c r="CO21" s="55"/>
      <c r="CP21" s="55"/>
      <c r="CQ21" s="55"/>
      <c r="CR21" s="55"/>
      <c r="CS21" s="55"/>
      <c r="CT21" s="55"/>
      <c r="CU21" s="55"/>
      <c r="CV21" s="55"/>
      <c r="CW21" s="55"/>
      <c r="CX21" s="55"/>
      <c r="CY21" s="55"/>
      <c r="CZ21" s="55"/>
      <c r="DA21" s="55"/>
      <c r="DB21" s="55"/>
      <c r="DC21" s="55"/>
      <c r="DD21" s="55"/>
      <c r="DE21" s="55"/>
      <c r="DF21" s="55"/>
      <c r="DG21" s="55"/>
      <c r="DH21" s="55"/>
      <c r="DI21" s="55"/>
      <c r="DJ21" s="55"/>
      <c r="DK21" s="55"/>
      <c r="DL21" s="55"/>
      <c r="DM21" s="55"/>
      <c r="DN21" s="55"/>
      <c r="DO21" s="55"/>
      <c r="DP21" s="55"/>
      <c r="DQ21" s="55"/>
      <c r="DR21" s="55"/>
      <c r="DS21" s="55"/>
      <c r="DT21" s="55"/>
      <c r="DU21" s="55"/>
      <c r="DV21" s="55"/>
      <c r="DW21" s="55"/>
      <c r="DX21" s="55"/>
      <c r="DY21" s="55"/>
      <c r="DZ21" s="55"/>
      <c r="EA21" s="55"/>
      <c r="EB21" s="55"/>
      <c r="EC21" s="55"/>
      <c r="ED21" s="55"/>
      <c r="EE21" s="55"/>
      <c r="EF21" s="55"/>
      <c r="EG21" s="55"/>
      <c r="EH21" s="55"/>
      <c r="EI21" s="55"/>
      <c r="EJ21" s="55"/>
      <c r="EK21" s="55"/>
      <c r="EL21" s="55"/>
      <c r="EM21" s="55"/>
      <c r="EN21" s="55"/>
      <c r="EO21" s="55"/>
      <c r="EP21" s="55"/>
      <c r="EQ21" s="55"/>
      <c r="ER21" s="55"/>
      <c r="ES21" s="55"/>
      <c r="ET21" s="55"/>
      <c r="EU21" s="55"/>
      <c r="EV21" s="55"/>
      <c r="EW21" s="55"/>
      <c r="EX21" s="55"/>
      <c r="EY21" s="55"/>
      <c r="EZ21" s="55"/>
      <c r="FA21" s="55"/>
      <c r="FB21" s="55"/>
      <c r="FC21" s="55"/>
      <c r="FD21" s="55"/>
      <c r="FE21" s="55"/>
      <c r="FF21" s="55"/>
      <c r="FG21" s="55"/>
      <c r="FH21" s="55"/>
      <c r="FI21" s="55"/>
      <c r="FJ21" s="55"/>
      <c r="FK21" s="55"/>
      <c r="FL21" s="55"/>
      <c r="FM21" s="55"/>
      <c r="FN21" s="55"/>
      <c r="FO21" s="55"/>
      <c r="FP21" s="55"/>
      <c r="FQ21" s="55"/>
      <c r="FR21" s="55"/>
      <c r="FS21" s="55"/>
      <c r="FT21" s="55"/>
      <c r="FU21" s="55"/>
      <c r="FV21" s="55"/>
      <c r="FW21" s="55"/>
    </row>
    <row r="22" spans="1:179" s="57" customFormat="1" ht="9.75" customHeight="1" x14ac:dyDescent="0.15">
      <c r="A22" s="468" t="s">
        <v>145</v>
      </c>
      <c r="B22" s="300">
        <v>0.18</v>
      </c>
      <c r="C22" s="214">
        <v>7.0000000000000007E-2</v>
      </c>
      <c r="D22" s="224"/>
      <c r="E22" s="225"/>
      <c r="F22" s="215">
        <v>0</v>
      </c>
      <c r="G22" s="216">
        <v>0</v>
      </c>
      <c r="H22" s="493">
        <f t="shared" ref="H22" si="85">SUM(IF(ISBLANK(D22),B22,D22))</f>
        <v>0.18</v>
      </c>
      <c r="I22" s="493">
        <f t="shared" ref="I22" si="86">SUM(IF((1*(IF(ISBLANK(E22),C22,E22)))+IF(ISBLANK(D22),B22,D22) &lt; 0, 0, (1*(IF(ISBLANK(E22),C22,E22)))+IF(ISBLANK(D22),B22,D22)))</f>
        <v>0.25</v>
      </c>
      <c r="J22" s="217">
        <f>SUM(AE22+AJ22+AO22+AT22)</f>
        <v>21776.916035143011</v>
      </c>
      <c r="K22" s="493">
        <f t="shared" ref="K22" si="87">SUM(IF((2*(IF(ISBLANK(E22),C22,E22)))+IF(ISBLANK(D22),B22,D22) &lt; 0, 0, (2*(IF(ISBLANK(E22),C22,E22)))+IF(ISBLANK(D22),B22,D22)))</f>
        <v>0.32</v>
      </c>
      <c r="L22" s="493">
        <f t="shared" ref="L22" si="88">SUM(IF((3*(IF(ISBLANK(E22),C22,E22)))+IF(ISBLANK(D22),B22,D22) &lt; 0, 0, (3*(IF(ISBLANK(E22),C22,E22)))+IF(ISBLANK(D22),B22,D22)))</f>
        <v>0.39</v>
      </c>
      <c r="M22" s="493">
        <f t="shared" ref="M22" si="89">SUM(IF((4*(IF(ISBLANK(E22),C22,E22)))+IF(ISBLANK(D22),B22,D22) &lt; 0, 0, (4*(IF(ISBLANK(E22),C22,E22)))+IF(ISBLANK(D22),B22,D22)))</f>
        <v>0.46</v>
      </c>
      <c r="N22" s="493">
        <f t="shared" ref="N22" si="90">SUM(IF((5*(IF(ISBLANK(E22),C22,E22)))+IF(ISBLANK(D22),B22,D22) &lt; 0, 0, (5*(IF(ISBLANK(E22),C22,E22)))+IF(ISBLANK(D22),B22,D22)))</f>
        <v>0.53</v>
      </c>
      <c r="O22" s="217">
        <f t="shared" ref="O22:O29" si="91">SUM(AZ22+BE22+BJ22+BO22)</f>
        <v>358655.83480487252</v>
      </c>
      <c r="P22" s="493">
        <f t="shared" ref="P22" si="92">SUM(IF((6*(IF(ISBLANK(E22),C22,E22)))+IF(ISBLANK(D22),B22,D22) &lt; 0, 0, (6*(IF(ISBLANK(E22),C22,E22)))+IF(ISBLANK(D22),B22,D22)))</f>
        <v>0.60000000000000009</v>
      </c>
      <c r="Q22" s="493">
        <f t="shared" ref="Q22" si="93">SUM(IF((7*(IF(ISBLANK(E22),C22,E22)))+IF(ISBLANK(D22),B22,D22) &lt; 0, 0, (7*(IF(ISBLANK(E22),C22,E22)))+IF(ISBLANK(D22),B22,D22)))</f>
        <v>0.67</v>
      </c>
      <c r="R22" s="493">
        <f t="shared" ref="R22" si="94">SUM(IF((8*(IF(ISBLANK(E22),C22,E22)))+IF(ISBLANK(D22),B22,D22) &lt; 0, 0, (8*(IF(ISBLANK(E22),C22,E22)))+IF(ISBLANK(D22),B22,D22)))</f>
        <v>0.74</v>
      </c>
      <c r="S22" s="493">
        <f t="shared" ref="S22" si="95">SUM(IF((9*(IF(ISBLANK(E22),C22,E22)))+IF(ISBLANK(D22),B22,D22) &lt; 0, 0, (9*(IF(ISBLANK(E22),C22,E22)))+IF(ISBLANK(D22),B22,D22)))</f>
        <v>0.81</v>
      </c>
      <c r="T22" s="218">
        <f t="shared" ref="T22:T29" si="96">SUM(BU22+BZ22+CE22+CJ22)</f>
        <v>2059813.1684236776</v>
      </c>
      <c r="U22" s="247"/>
      <c r="V22" s="213">
        <f>SUM(IF((11*(IF(ISBLANK(E22),C22,E22)))+IF(ISBLANK(D22),B22,D22) &lt; 0, 0, (11*(IF(ISBLANK(E22),C22,E22)))+IF(ISBLANK(D22),B22,D22)))*12</f>
        <v>11.399999999999999</v>
      </c>
      <c r="W22" s="219">
        <f>SUM(IF((13*(IF(ISBLANK(E22),C22,E22)))+IF(ISBLANK(D22),B22,D22) &lt; 0, 0, (13*(IF(ISBLANK(E22),C22,E22)))+IF(ISBLANK(D22),B22,D22)))*12</f>
        <v>13.080000000000002</v>
      </c>
      <c r="X22" s="220">
        <f>SUM(IF((15*(IF(ISBLANK(E22),C22,E22)))+IF(ISBLANK(D22),B22,D22) &lt; 0, 0, (15*(IF(ISBLANK(E22),C22,E22)))+IF(ISBLANK(D22),B22,D22)))*12</f>
        <v>14.76</v>
      </c>
      <c r="Y22" s="221"/>
      <c r="Z22" s="578">
        <v>0</v>
      </c>
      <c r="AA22" s="617"/>
      <c r="AB22" s="532">
        <f>SUM(AB18*F22)</f>
        <v>0</v>
      </c>
      <c r="AC22" s="492">
        <f>SUM(AC18*F22)</f>
        <v>0</v>
      </c>
      <c r="AD22" s="492">
        <f>SUM(AD18*F22)</f>
        <v>0</v>
      </c>
      <c r="AE22" s="492">
        <f t="shared" si="70"/>
        <v>0</v>
      </c>
      <c r="AF22" s="222"/>
      <c r="AG22" s="532">
        <f>SUM(AG18*G22)</f>
        <v>0</v>
      </c>
      <c r="AH22" s="492">
        <f>SUM(AH18*G22)</f>
        <v>0</v>
      </c>
      <c r="AI22" s="492">
        <f>SUM(AI18*G22)</f>
        <v>0</v>
      </c>
      <c r="AJ22" s="492">
        <f t="shared" si="71"/>
        <v>0</v>
      </c>
      <c r="AK22" s="222"/>
      <c r="AL22" s="532">
        <f t="shared" si="72"/>
        <v>0</v>
      </c>
      <c r="AM22" s="492">
        <f t="shared" si="73"/>
        <v>0</v>
      </c>
      <c r="AN22" s="492">
        <f t="shared" si="74"/>
        <v>0</v>
      </c>
      <c r="AO22" s="492">
        <f t="shared" si="75"/>
        <v>0</v>
      </c>
      <c r="AP22" s="222"/>
      <c r="AQ22" s="532">
        <f>SUM(AQ18*I22)</f>
        <v>6114.1477710594882</v>
      </c>
      <c r="AR22" s="492">
        <f>SUM(AR18*I22)</f>
        <v>7266.5177320596295</v>
      </c>
      <c r="AS22" s="492">
        <f>SUM(AS18*I22)</f>
        <v>8396.2505320238943</v>
      </c>
      <c r="AT22" s="492">
        <f t="shared" si="76"/>
        <v>21776.916035143011</v>
      </c>
      <c r="AU22" s="222"/>
      <c r="AV22" s="617"/>
      <c r="AW22" s="532">
        <f>SUM(AW18*K22)</f>
        <v>12115.070154840043</v>
      </c>
      <c r="AX22" s="492">
        <f>SUM(AX18*K22)</f>
        <v>13437.769845418499</v>
      </c>
      <c r="AY22" s="492">
        <f>SUM(AY18*K22)</f>
        <v>14716.791349226758</v>
      </c>
      <c r="AZ22" s="492">
        <f t="shared" si="77"/>
        <v>40269.631349485295</v>
      </c>
      <c r="BA22" s="222"/>
      <c r="BB22" s="532">
        <f>SUM(BB18*L22)</f>
        <v>19954.56910971129</v>
      </c>
      <c r="BC22" s="492">
        <f>SUM(BC18*L22)</f>
        <v>21916.476562676362</v>
      </c>
      <c r="BD22" s="492">
        <f>SUM(BD18*L22)</f>
        <v>23823.397372396685</v>
      </c>
      <c r="BE22" s="492">
        <f t="shared" si="78"/>
        <v>65694.443044784333</v>
      </c>
      <c r="BF22" s="222"/>
      <c r="BG22" s="532">
        <f>SUM(BG18*M22)</f>
        <v>30823.923371766581</v>
      </c>
      <c r="BH22" s="492">
        <f>SUM(BH18*M22)</f>
        <v>33496.598166369215</v>
      </c>
      <c r="BI22" s="492">
        <f>SUM(BI18*M22)</f>
        <v>36118.403162065275</v>
      </c>
      <c r="BJ22" s="492">
        <f t="shared" si="79"/>
        <v>100438.92470020108</v>
      </c>
      <c r="BK22" s="222"/>
      <c r="BL22" s="532">
        <f>SUM(BL18*N22)</f>
        <v>46213.515575523554</v>
      </c>
      <c r="BM22" s="492">
        <f>SUM(BM18*N22)</f>
        <v>50766.180363987616</v>
      </c>
      <c r="BN22" s="492">
        <f>SUM(BN18*N22)</f>
        <v>55273.139770890637</v>
      </c>
      <c r="BO22" s="492">
        <f t="shared" si="80"/>
        <v>152252.83571040182</v>
      </c>
      <c r="BP22" s="222"/>
      <c r="BQ22" s="221"/>
      <c r="BR22" s="532">
        <f>SUM(BR18*P22)</f>
        <v>70139.228675689767</v>
      </c>
      <c r="BS22" s="492">
        <f>SUM(BS18*P22)</f>
        <v>77697.166698806352</v>
      </c>
      <c r="BT22" s="492">
        <f>SUM(BT18*P22)</f>
        <v>85247.188148637651</v>
      </c>
      <c r="BU22" s="492">
        <f t="shared" si="81"/>
        <v>233083.58352313377</v>
      </c>
      <c r="BV22" s="222"/>
      <c r="BW22" s="532">
        <f>SUM(BW18*Q22)</f>
        <v>107627.22406810116</v>
      </c>
      <c r="BX22" s="492">
        <f>SUM(BX18*Q22)</f>
        <v>120160.50660931264</v>
      </c>
      <c r="BY22" s="492">
        <f>SUM(BY18*Q22)</f>
        <v>132793.32531900561</v>
      </c>
      <c r="BZ22" s="492">
        <f t="shared" si="82"/>
        <v>360581.0559964194</v>
      </c>
      <c r="CA22" s="222"/>
      <c r="CB22" s="532">
        <f>SUM(CB18*R22)</f>
        <v>167323.81743606072</v>
      </c>
      <c r="CC22" s="492">
        <f>SUM(CC18*R22)</f>
        <v>188330.04725636257</v>
      </c>
      <c r="CD22" s="492">
        <f>SUM(CD18*R22)</f>
        <v>209691.86333764653</v>
      </c>
      <c r="CE22" s="492">
        <f t="shared" si="83"/>
        <v>565345.72803006973</v>
      </c>
      <c r="CF22" s="222"/>
      <c r="CG22" s="532">
        <f>SUM(CG18*S22)</f>
        <v>264293.19815834454</v>
      </c>
      <c r="CH22" s="492">
        <f>SUM(CH18*S22)</f>
        <v>299959.56978381192</v>
      </c>
      <c r="CI22" s="492">
        <f>SUM(CI18*S22)</f>
        <v>336550.03293189825</v>
      </c>
      <c r="CJ22" s="492">
        <f t="shared" si="84"/>
        <v>900802.80087405466</v>
      </c>
      <c r="CK22" s="222"/>
      <c r="CL22" s="55"/>
      <c r="CM22" s="55"/>
      <c r="CN22" s="55"/>
      <c r="CO22" s="55"/>
      <c r="CP22" s="55"/>
      <c r="CQ22" s="55"/>
      <c r="CR22" s="55"/>
      <c r="CS22" s="55"/>
      <c r="CT22" s="55"/>
      <c r="CU22" s="55"/>
      <c r="CV22" s="55"/>
      <c r="CW22" s="55"/>
      <c r="CX22" s="55"/>
      <c r="CY22" s="55"/>
      <c r="CZ22" s="55"/>
      <c r="DA22" s="55"/>
      <c r="DB22" s="55"/>
      <c r="DC22" s="55"/>
      <c r="DD22" s="55"/>
      <c r="DE22" s="55"/>
      <c r="DF22" s="55"/>
      <c r="DG22" s="55"/>
      <c r="DH22" s="55"/>
      <c r="DI22" s="55"/>
      <c r="DJ22" s="55"/>
      <c r="DK22" s="55"/>
      <c r="DL22" s="55"/>
      <c r="DM22" s="55"/>
      <c r="DN22" s="55"/>
      <c r="DO22" s="55"/>
      <c r="DP22" s="55"/>
      <c r="DQ22" s="55"/>
      <c r="DR22" s="55"/>
      <c r="DS22" s="55"/>
      <c r="DT22" s="55"/>
      <c r="DU22" s="55"/>
      <c r="DV22" s="55"/>
      <c r="DW22" s="55"/>
      <c r="DX22" s="55"/>
      <c r="DY22" s="55"/>
      <c r="DZ22" s="55"/>
      <c r="EA22" s="55"/>
      <c r="EB22" s="55"/>
      <c r="EC22" s="55"/>
      <c r="ED22" s="55"/>
      <c r="EE22" s="55"/>
      <c r="EF22" s="55"/>
      <c r="EG22" s="55"/>
      <c r="EH22" s="55"/>
      <c r="EI22" s="55"/>
      <c r="EJ22" s="55"/>
      <c r="EK22" s="55"/>
      <c r="EL22" s="55"/>
      <c r="EM22" s="55"/>
      <c r="EN22" s="55"/>
      <c r="EO22" s="55"/>
      <c r="EP22" s="55"/>
      <c r="EQ22" s="55"/>
      <c r="ER22" s="55"/>
      <c r="ES22" s="55"/>
      <c r="ET22" s="55"/>
      <c r="EU22" s="55"/>
      <c r="EV22" s="55"/>
      <c r="EW22" s="55"/>
      <c r="EX22" s="55"/>
      <c r="EY22" s="55"/>
      <c r="EZ22" s="55"/>
      <c r="FA22" s="55"/>
      <c r="FB22" s="55"/>
      <c r="FC22" s="55"/>
      <c r="FD22" s="55"/>
      <c r="FE22" s="55"/>
      <c r="FF22" s="55"/>
      <c r="FG22" s="55"/>
      <c r="FH22" s="55"/>
      <c r="FI22" s="55"/>
      <c r="FJ22" s="55"/>
      <c r="FK22" s="55"/>
      <c r="FL22" s="55"/>
      <c r="FM22" s="55"/>
      <c r="FN22" s="55"/>
      <c r="FO22" s="55"/>
      <c r="FP22" s="55"/>
      <c r="FQ22" s="55"/>
      <c r="FR22" s="55"/>
      <c r="FS22" s="55"/>
      <c r="FT22" s="55"/>
      <c r="FU22" s="55"/>
      <c r="FV22" s="55"/>
      <c r="FW22" s="55"/>
    </row>
    <row r="23" spans="1:179" s="57" customFormat="1" ht="9.75" customHeight="1" x14ac:dyDescent="0.15">
      <c r="A23" s="468" t="s">
        <v>146</v>
      </c>
      <c r="B23" s="213">
        <v>0.02</v>
      </c>
      <c r="C23" s="214">
        <v>7.0000000000000007E-2</v>
      </c>
      <c r="D23" s="224"/>
      <c r="E23" s="225"/>
      <c r="F23" s="215">
        <v>0</v>
      </c>
      <c r="G23" s="216">
        <v>0</v>
      </c>
      <c r="H23" s="223">
        <v>0</v>
      </c>
      <c r="I23" s="223">
        <v>0</v>
      </c>
      <c r="J23" s="217">
        <f t="shared" ref="J23:J29" si="97">SUM(AE23+AJ23+AO23+AT23)</f>
        <v>0</v>
      </c>
      <c r="K23" s="493">
        <f>SUM(IF((0*(IF(ISBLANK(E23),C23,E23)))+IF(ISBLANK(D23),B23,D23) &lt; 0, 0, (0*(IF(ISBLANK(E23),C23,E23)))+IF(ISBLANK(D23),B23,D23)))</f>
        <v>0.02</v>
      </c>
      <c r="L23" s="493">
        <f>SUM(IF((1*(IF(ISBLANK(E23),C23,E23)))+IF(ISBLANK(D23),B23,D23) &lt; 0, 0, (1*(IF(ISBLANK(E23),C23,E23)))+IF(ISBLANK(D23),B23,D23)))</f>
        <v>9.0000000000000011E-2</v>
      </c>
      <c r="M23" s="493">
        <f>SUM(IF((2*(IF(ISBLANK(E23),C23,E23)))+IF(ISBLANK(D23),B23,D23) &lt; 0, 0, (2*(IF(ISBLANK(E23),C23,E23)))+IF(ISBLANK(D23),B23,D23)))</f>
        <v>0.16</v>
      </c>
      <c r="N23" s="493">
        <f>SUM(IF((3*(IF(ISBLANK(E23),C23,E23)))+IF(ISBLANK(D23),B23,D23) &lt; 0, 0, (3*(IF(ISBLANK(E23),C23,E23)))+IF(ISBLANK(D23),B23,D23)))</f>
        <v>0.23</v>
      </c>
      <c r="O23" s="217">
        <f t="shared" si="91"/>
        <v>118684.37151148001</v>
      </c>
      <c r="P23" s="493">
        <f>SUM(IF((4*(IF(ISBLANK(E23),C23,E23)))+IF(ISBLANK(D23),B23,D23) &lt; 0, 0, (4*(IF(ISBLANK(E23),C23,E23)))+IF(ISBLANK(D23),B23,D23)))</f>
        <v>0.30000000000000004</v>
      </c>
      <c r="Q23" s="493">
        <f>SUM(IF((5*(IF(ISBLANK(E23),C23,E23)))+IF(ISBLANK(D23),B23,D23) &lt; 0, 0, (5*(IF(ISBLANK(E23),C23,E23)))+IF(ISBLANK(D23),B23,D23)))</f>
        <v>0.37000000000000005</v>
      </c>
      <c r="R23" s="493">
        <f>SUM(IF((6*(IF(ISBLANK(E23),C23,E23)))+IF(ISBLANK(D23),B23,D23) &lt; 0, 0, (6*(IF(ISBLANK(E23),C23,E23)))+IF(ISBLANK(D23),B23,D23)))</f>
        <v>0.44000000000000006</v>
      </c>
      <c r="S23" s="493">
        <f>SUM(IF((7*(IF(ISBLANK(E23),C23,E23)))+IF(ISBLANK(D23),B23,D23) &lt; 0, 0, (7*(IF(ISBLANK(E23),C23,E23)))+IF(ISBLANK(D23),B23,D23)))</f>
        <v>0.51</v>
      </c>
      <c r="T23" s="218">
        <f t="shared" si="96"/>
        <v>1218992.2914279746</v>
      </c>
      <c r="U23" s="247"/>
      <c r="V23" s="213">
        <f>SUM(IF((9*(IF(ISBLANK(E23),C23,E23)))+IF(ISBLANK(D23),B23,D23) &lt; 0, 0, (9*(IF(ISBLANK(E23),C23,E23)))+IF(ISBLANK(D23),B23,D23)))*12</f>
        <v>7.8000000000000016</v>
      </c>
      <c r="W23" s="219">
        <f>SUM(IF((11*(IF(ISBLANK(E23),C23,E23)))+IF(ISBLANK(D23),B23,D23) &lt; 0, 0, (11*(IF(ISBLANK(E23),C23,E23)))+IF(ISBLANK(D23),B23,D23)))*12</f>
        <v>9.48</v>
      </c>
      <c r="X23" s="220">
        <f>SUM(IF((13*(IF(ISBLANK(E23),C23,E23)))+IF(ISBLANK(D23),B23,D23) &lt; 0, 0, (13*(IF(ISBLANK(E23),C23,E23)))+IF(ISBLANK(D23),B23,D23)))*12</f>
        <v>11.160000000000002</v>
      </c>
      <c r="Y23" s="221"/>
      <c r="Z23" s="578">
        <v>0</v>
      </c>
      <c r="AA23" s="617"/>
      <c r="AB23" s="532">
        <f>SUM(AB18*F23)</f>
        <v>0</v>
      </c>
      <c r="AC23" s="492">
        <f>SUM(AC18*F23)</f>
        <v>0</v>
      </c>
      <c r="AD23" s="492">
        <f>SUM(AD18*F23)</f>
        <v>0</v>
      </c>
      <c r="AE23" s="492">
        <f t="shared" si="70"/>
        <v>0</v>
      </c>
      <c r="AF23" s="222"/>
      <c r="AG23" s="532">
        <f>SUM(AG18*G23)</f>
        <v>0</v>
      </c>
      <c r="AH23" s="492">
        <f>SUM(AH18*G23)</f>
        <v>0</v>
      </c>
      <c r="AI23" s="492">
        <f>SUM(AI18*G23)</f>
        <v>0</v>
      </c>
      <c r="AJ23" s="492">
        <f t="shared" si="71"/>
        <v>0</v>
      </c>
      <c r="AK23" s="222"/>
      <c r="AL23" s="532">
        <f t="shared" si="72"/>
        <v>0</v>
      </c>
      <c r="AM23" s="492">
        <f t="shared" si="73"/>
        <v>0</v>
      </c>
      <c r="AN23" s="492">
        <f t="shared" si="74"/>
        <v>0</v>
      </c>
      <c r="AO23" s="492">
        <f t="shared" si="75"/>
        <v>0</v>
      </c>
      <c r="AP23" s="222"/>
      <c r="AQ23" s="532">
        <f>SUM(AQ18*I23)</f>
        <v>0</v>
      </c>
      <c r="AR23" s="492">
        <f>SUM(AR18*I23)</f>
        <v>0</v>
      </c>
      <c r="AS23" s="492">
        <f>SUM(AS18*I23)</f>
        <v>0</v>
      </c>
      <c r="AT23" s="492">
        <f t="shared" si="76"/>
        <v>0</v>
      </c>
      <c r="AU23" s="222"/>
      <c r="AV23" s="617"/>
      <c r="AW23" s="532">
        <f>SUM(AW18*K23)</f>
        <v>757.19188467750269</v>
      </c>
      <c r="AX23" s="492">
        <f>SUM(AX18*K23)</f>
        <v>839.8606153386562</v>
      </c>
      <c r="AY23" s="492">
        <f>SUM(AY18*K23)</f>
        <v>919.79945932667238</v>
      </c>
      <c r="AZ23" s="492">
        <f t="shared" si="77"/>
        <v>2516.8519593428309</v>
      </c>
      <c r="BA23" s="222"/>
      <c r="BB23" s="532">
        <f>SUM(BB18*L23)</f>
        <v>4604.900563779529</v>
      </c>
      <c r="BC23" s="492">
        <f>SUM(BC18*L23)</f>
        <v>5057.648437540699</v>
      </c>
      <c r="BD23" s="492">
        <f>SUM(BD18*L23)</f>
        <v>5497.7070859376972</v>
      </c>
      <c r="BE23" s="492">
        <f t="shared" si="78"/>
        <v>15160.256087257927</v>
      </c>
      <c r="BF23" s="222"/>
      <c r="BG23" s="532">
        <f>SUM(BG18*M23)</f>
        <v>10721.364651049245</v>
      </c>
      <c r="BH23" s="492">
        <f>SUM(BH18*M23)</f>
        <v>11650.990666563204</v>
      </c>
      <c r="BI23" s="492">
        <f>SUM(BI18*M23)</f>
        <v>12562.922838979226</v>
      </c>
      <c r="BJ23" s="492">
        <f t="shared" si="79"/>
        <v>34935.278156591674</v>
      </c>
      <c r="BK23" s="222"/>
      <c r="BL23" s="532">
        <f>SUM(BL18*N23)</f>
        <v>20054.921853529089</v>
      </c>
      <c r="BM23" s="492">
        <f>SUM(BM18*N23)</f>
        <v>22030.606573051231</v>
      </c>
      <c r="BN23" s="492">
        <f>SUM(BN18*N23)</f>
        <v>23986.456881707258</v>
      </c>
      <c r="BO23" s="492">
        <f t="shared" si="80"/>
        <v>66071.985308287578</v>
      </c>
      <c r="BP23" s="222"/>
      <c r="BQ23" s="221"/>
      <c r="BR23" s="532">
        <f>SUM(BR18*P23)</f>
        <v>35069.614337844883</v>
      </c>
      <c r="BS23" s="492">
        <f>SUM(BS18*P23)</f>
        <v>38848.583349403176</v>
      </c>
      <c r="BT23" s="492">
        <f>SUM(BT18*P23)</f>
        <v>42623.594074318826</v>
      </c>
      <c r="BU23" s="492">
        <f t="shared" si="81"/>
        <v>116541.79176156688</v>
      </c>
      <c r="BV23" s="222"/>
      <c r="BW23" s="532">
        <f>SUM(BW18*Q23)</f>
        <v>59435.929709249896</v>
      </c>
      <c r="BX23" s="492">
        <f>SUM(BX18*Q23)</f>
        <v>66357.29469469504</v>
      </c>
      <c r="BY23" s="492">
        <f>SUM(BY18*Q23)</f>
        <v>73333.627414973264</v>
      </c>
      <c r="BZ23" s="492">
        <f t="shared" si="82"/>
        <v>199126.85181891819</v>
      </c>
      <c r="CA23" s="222"/>
      <c r="CB23" s="532">
        <f>SUM(CB18*R23)</f>
        <v>99489.837394414499</v>
      </c>
      <c r="CC23" s="492">
        <f>SUM(CC18*R23)</f>
        <v>111980.02809837776</v>
      </c>
      <c r="CD23" s="492">
        <f>SUM(CD18*R23)</f>
        <v>124681.64847103308</v>
      </c>
      <c r="CE23" s="492">
        <f t="shared" si="83"/>
        <v>336151.51396382536</v>
      </c>
      <c r="CF23" s="222"/>
      <c r="CG23" s="532">
        <f>SUM(CG18*S23)</f>
        <v>166406.82847006878</v>
      </c>
      <c r="CH23" s="492">
        <f>SUM(CH18*S23)</f>
        <v>188863.43282684451</v>
      </c>
      <c r="CI23" s="492">
        <f>SUM(CI18*S23)</f>
        <v>211901.87258675075</v>
      </c>
      <c r="CJ23" s="492">
        <f t="shared" si="84"/>
        <v>567172.13388366404</v>
      </c>
      <c r="CK23" s="222"/>
      <c r="CL23" s="55"/>
      <c r="CM23" s="55"/>
      <c r="CN23" s="55"/>
      <c r="CO23" s="55"/>
      <c r="CP23" s="55"/>
      <c r="CQ23" s="55"/>
      <c r="CR23" s="55"/>
      <c r="CS23" s="55"/>
      <c r="CT23" s="55"/>
      <c r="CU23" s="55"/>
      <c r="CV23" s="55"/>
      <c r="CW23" s="55"/>
      <c r="CX23" s="55"/>
      <c r="CY23" s="55"/>
      <c r="CZ23" s="55"/>
      <c r="DA23" s="55"/>
      <c r="DB23" s="55"/>
      <c r="DC23" s="55"/>
      <c r="DD23" s="55"/>
      <c r="DE23" s="55"/>
      <c r="DF23" s="55"/>
      <c r="DG23" s="55"/>
      <c r="DH23" s="55"/>
      <c r="DI23" s="55"/>
      <c r="DJ23" s="55"/>
      <c r="DK23" s="55"/>
      <c r="DL23" s="55"/>
      <c r="DM23" s="55"/>
      <c r="DN23" s="55"/>
      <c r="DO23" s="55"/>
      <c r="DP23" s="55"/>
      <c r="DQ23" s="55"/>
      <c r="DR23" s="55"/>
      <c r="DS23" s="55"/>
      <c r="DT23" s="55"/>
      <c r="DU23" s="55"/>
      <c r="DV23" s="55"/>
      <c r="DW23" s="55"/>
      <c r="DX23" s="55"/>
      <c r="DY23" s="55"/>
      <c r="DZ23" s="55"/>
      <c r="EA23" s="55"/>
      <c r="EB23" s="55"/>
      <c r="EC23" s="55"/>
      <c r="ED23" s="55"/>
      <c r="EE23" s="55"/>
      <c r="EF23" s="55"/>
      <c r="EG23" s="55"/>
      <c r="EH23" s="55"/>
      <c r="EI23" s="55"/>
      <c r="EJ23" s="55"/>
      <c r="EK23" s="55"/>
      <c r="EL23" s="55"/>
      <c r="EM23" s="55"/>
      <c r="EN23" s="55"/>
      <c r="EO23" s="55"/>
      <c r="EP23" s="55"/>
      <c r="EQ23" s="55"/>
      <c r="ER23" s="55"/>
      <c r="ES23" s="55"/>
      <c r="ET23" s="55"/>
      <c r="EU23" s="55"/>
      <c r="EV23" s="55"/>
      <c r="EW23" s="55"/>
      <c r="EX23" s="55"/>
      <c r="EY23" s="55"/>
      <c r="EZ23" s="55"/>
      <c r="FA23" s="55"/>
      <c r="FB23" s="55"/>
      <c r="FC23" s="55"/>
      <c r="FD23" s="55"/>
      <c r="FE23" s="55"/>
      <c r="FF23" s="55"/>
      <c r="FG23" s="55"/>
      <c r="FH23" s="55"/>
      <c r="FI23" s="55"/>
      <c r="FJ23" s="55"/>
      <c r="FK23" s="55"/>
      <c r="FL23" s="55"/>
      <c r="FM23" s="55"/>
      <c r="FN23" s="55"/>
      <c r="FO23" s="55"/>
      <c r="FP23" s="55"/>
      <c r="FQ23" s="55"/>
      <c r="FR23" s="55"/>
      <c r="FS23" s="55"/>
      <c r="FT23" s="55"/>
      <c r="FU23" s="55"/>
      <c r="FV23" s="55"/>
      <c r="FW23" s="55"/>
    </row>
    <row r="24" spans="1:179" s="57" customFormat="1" ht="9.75" customHeight="1" x14ac:dyDescent="0.15">
      <c r="A24" s="468" t="s">
        <v>147</v>
      </c>
      <c r="B24" s="213">
        <v>0.01</v>
      </c>
      <c r="C24" s="299">
        <v>0.05</v>
      </c>
      <c r="D24" s="224"/>
      <c r="E24" s="225"/>
      <c r="F24" s="215">
        <v>0</v>
      </c>
      <c r="G24" s="216">
        <v>0</v>
      </c>
      <c r="H24" s="223">
        <v>0</v>
      </c>
      <c r="I24" s="223">
        <v>0</v>
      </c>
      <c r="J24" s="217">
        <f t="shared" si="97"/>
        <v>0</v>
      </c>
      <c r="K24" s="493">
        <f>SUM(IF((0*(IF(ISBLANK(E24),C24,E24)))+IF(ISBLANK(D24),B24,D24) &lt; 0, 0, (0*(IF(ISBLANK(E24),C24,E24)))+IF(ISBLANK(D24),B24,D24)))</f>
        <v>0.01</v>
      </c>
      <c r="L24" s="493">
        <f>SUM(IF((1*(IF(ISBLANK(E24),C24,E24)))+IF(ISBLANK(D24),B24,D24) &lt; 0, 0, (1*(IF(ISBLANK(E24),C24,E24)))+IF(ISBLANK(D24),B24,D24)))</f>
        <v>6.0000000000000005E-2</v>
      </c>
      <c r="M24" s="493">
        <f>SUM(IF((2*(IF(ISBLANK(E24),C24,E24)))+IF(ISBLANK(D24),B24,D24) &lt; 0, 0, (2*(IF(ISBLANK(E24),C24,E24)))+IF(ISBLANK(D24),B24,D24)))</f>
        <v>0.11</v>
      </c>
      <c r="N24" s="493">
        <f>SUM(IF((3*(IF(ISBLANK(E24),C24,E24)))+IF(ISBLANK(D24),B24,D24) &lt; 0, 0, (3*(IF(ISBLANK(E24),C24,E24)))+IF(ISBLANK(D24),B24,D24)))</f>
        <v>0.16000000000000003</v>
      </c>
      <c r="O24" s="217">
        <f t="shared" si="91"/>
        <v>81346.387318294408</v>
      </c>
      <c r="P24" s="493">
        <f>SUM(IF((4*(IF(ISBLANK(E24),C24,E24)))+IF(ISBLANK(D24),B24,D24) &lt; 0, 0, (4*(IF(ISBLANK(E24),C24,E24)))+IF(ISBLANK(D24),B24,D24)))</f>
        <v>0.21000000000000002</v>
      </c>
      <c r="Q24" s="493">
        <f>SUM(IF((5*(IF(ISBLANK(E24),C24,E24)))+IF(ISBLANK(D24),B24,D24) &lt; 0, 0, (5*(IF(ISBLANK(E24),C24,E24)))+IF(ISBLANK(D24),B24,D24)))</f>
        <v>0.26</v>
      </c>
      <c r="R24" s="493">
        <f>SUM(IF((6*(IF(ISBLANK(E24),C24,E24)))+IF(ISBLANK(D24),B24,D24) &lt; 0, 0, (6*(IF(ISBLANK(E24),C24,E24)))+IF(ISBLANK(D24),B24,D24)))</f>
        <v>0.31000000000000005</v>
      </c>
      <c r="S24" s="493">
        <f>SUM(IF((7*(IF(ISBLANK(E24),C24,E24)))+IF(ISBLANK(D24),B24,D24) &lt; 0, 0, (7*(IF(ISBLANK(E24),C24,E24)))+IF(ISBLANK(D24),B24,D24)))</f>
        <v>0.36000000000000004</v>
      </c>
      <c r="T24" s="218">
        <f t="shared" si="96"/>
        <v>858697.05277718604</v>
      </c>
      <c r="U24" s="247"/>
      <c r="V24" s="213">
        <f>SUM(IF((9*(IF(ISBLANK(E24),C24,E24)))+IF(ISBLANK(D24),B24,D24) &lt; 0, 0, (9*(IF(ISBLANK(E24),C24,E24)))+IF(ISBLANK(D24),B24,D24)))*12</f>
        <v>5.5200000000000005</v>
      </c>
      <c r="W24" s="219">
        <f>SUM(IF((11*(IF(ISBLANK(E24),C24,E24)))+IF(ISBLANK(D24),B24,D24) &lt; 0, 0, (11*(IF(ISBLANK(E24),C24,E24)))+IF(ISBLANK(D24),B24,D24)))*12</f>
        <v>6.7200000000000006</v>
      </c>
      <c r="X24" s="220">
        <f>SUM(IF((13*(IF(ISBLANK(E24),C24,E24)))+IF(ISBLANK(D24),B24,D24) &lt; 0, 0, (13*(IF(ISBLANK(E24),C24,E24)))+IF(ISBLANK(D24),B24,D24)))*12</f>
        <v>7.92</v>
      </c>
      <c r="Y24" s="221"/>
      <c r="Z24" s="578">
        <v>0</v>
      </c>
      <c r="AA24" s="617"/>
      <c r="AB24" s="532">
        <f>SUM(AB18*F24)</f>
        <v>0</v>
      </c>
      <c r="AC24" s="492">
        <f>SUM(AC18*F24)</f>
        <v>0</v>
      </c>
      <c r="AD24" s="492">
        <f>SUM(AD18*F24)</f>
        <v>0</v>
      </c>
      <c r="AE24" s="492">
        <f t="shared" si="70"/>
        <v>0</v>
      </c>
      <c r="AF24" s="222"/>
      <c r="AG24" s="532">
        <f>SUM(AG18*G24)</f>
        <v>0</v>
      </c>
      <c r="AH24" s="492">
        <f>SUM(AH18*G24)</f>
        <v>0</v>
      </c>
      <c r="AI24" s="492">
        <f>SUM(AI18*G24)</f>
        <v>0</v>
      </c>
      <c r="AJ24" s="492">
        <f t="shared" si="71"/>
        <v>0</v>
      </c>
      <c r="AK24" s="222"/>
      <c r="AL24" s="532">
        <f t="shared" si="72"/>
        <v>0</v>
      </c>
      <c r="AM24" s="492">
        <f t="shared" si="73"/>
        <v>0</v>
      </c>
      <c r="AN24" s="492">
        <f t="shared" si="74"/>
        <v>0</v>
      </c>
      <c r="AO24" s="492">
        <f t="shared" si="75"/>
        <v>0</v>
      </c>
      <c r="AP24" s="222"/>
      <c r="AQ24" s="532">
        <f>SUM(AQ18*I24)</f>
        <v>0</v>
      </c>
      <c r="AR24" s="492">
        <f>SUM(AR18*I24)</f>
        <v>0</v>
      </c>
      <c r="AS24" s="492">
        <f>SUM(AS18*I24)</f>
        <v>0</v>
      </c>
      <c r="AT24" s="492">
        <f t="shared" si="76"/>
        <v>0</v>
      </c>
      <c r="AU24" s="222"/>
      <c r="AV24" s="617"/>
      <c r="AW24" s="532">
        <f>SUM(AW18*K24)</f>
        <v>378.59594233875134</v>
      </c>
      <c r="AX24" s="492">
        <f>SUM(AX18*K24)</f>
        <v>419.9303076693281</v>
      </c>
      <c r="AY24" s="492">
        <f>SUM(AY18*K24)</f>
        <v>459.89972966333619</v>
      </c>
      <c r="AZ24" s="492">
        <f t="shared" si="77"/>
        <v>1258.4259796714155</v>
      </c>
      <c r="BA24" s="222"/>
      <c r="BB24" s="532">
        <f>SUM(BB18*L24)</f>
        <v>3069.9337091863522</v>
      </c>
      <c r="BC24" s="492">
        <f>SUM(BC18*L24)</f>
        <v>3371.765625027133</v>
      </c>
      <c r="BD24" s="492">
        <f>SUM(BD18*L24)</f>
        <v>3665.1380572917978</v>
      </c>
      <c r="BE24" s="492">
        <f t="shared" si="78"/>
        <v>10106.837391505283</v>
      </c>
      <c r="BF24" s="222"/>
      <c r="BG24" s="532">
        <f>SUM(BG18*M24)</f>
        <v>7370.9381975963561</v>
      </c>
      <c r="BH24" s="492">
        <f>SUM(BH18*M24)</f>
        <v>8010.0560832622023</v>
      </c>
      <c r="BI24" s="492">
        <f>SUM(BI18*M24)</f>
        <v>8637.0094517982179</v>
      </c>
      <c r="BJ24" s="492">
        <f t="shared" si="79"/>
        <v>24018.003732656776</v>
      </c>
      <c r="BK24" s="222"/>
      <c r="BL24" s="532">
        <f>SUM(BL18*N24)</f>
        <v>13951.249985063716</v>
      </c>
      <c r="BM24" s="492">
        <f>SUM(BM18*N24)</f>
        <v>15325.639355166075</v>
      </c>
      <c r="BN24" s="492">
        <f>SUM(BN18*N24)</f>
        <v>16686.230874231136</v>
      </c>
      <c r="BO24" s="492">
        <f t="shared" si="80"/>
        <v>45963.120214460927</v>
      </c>
      <c r="BP24" s="222"/>
      <c r="BQ24" s="221"/>
      <c r="BR24" s="532">
        <f>SUM(BR18*P24)</f>
        <v>24548.730036491419</v>
      </c>
      <c r="BS24" s="492">
        <f>SUM(BS18*P24)</f>
        <v>27194.008344582224</v>
      </c>
      <c r="BT24" s="492">
        <f>SUM(BT18*P24)</f>
        <v>29836.515852023174</v>
      </c>
      <c r="BU24" s="492">
        <f t="shared" si="81"/>
        <v>81579.254233096814</v>
      </c>
      <c r="BV24" s="222"/>
      <c r="BW24" s="532">
        <f>SUM(BW18*Q24)</f>
        <v>41765.788444337762</v>
      </c>
      <c r="BX24" s="492">
        <f>SUM(BX18*Q24)</f>
        <v>46629.450326001919</v>
      </c>
      <c r="BY24" s="492">
        <f>SUM(BY18*Q24)</f>
        <v>51531.738183494715</v>
      </c>
      <c r="BZ24" s="492">
        <f t="shared" si="82"/>
        <v>139926.97695383441</v>
      </c>
      <c r="CA24" s="222"/>
      <c r="CB24" s="532">
        <f>SUM(CB18*R24)</f>
        <v>70095.112709701119</v>
      </c>
      <c r="CC24" s="492">
        <f>SUM(CC18*R24)</f>
        <v>78895.019796584325</v>
      </c>
      <c r="CD24" s="492">
        <f>SUM(CD18*R24)</f>
        <v>87843.888695500587</v>
      </c>
      <c r="CE24" s="492">
        <f t="shared" si="83"/>
        <v>236834.02120178603</v>
      </c>
      <c r="CF24" s="222"/>
      <c r="CG24" s="532">
        <f>SUM(CG18*S24)</f>
        <v>117463.64362593091</v>
      </c>
      <c r="CH24" s="492">
        <f>SUM(CH18*S24)</f>
        <v>133315.36434836086</v>
      </c>
      <c r="CI24" s="492">
        <f>SUM(CI18*S24)</f>
        <v>149577.79241417703</v>
      </c>
      <c r="CJ24" s="492">
        <f t="shared" si="84"/>
        <v>400356.80038846878</v>
      </c>
      <c r="CK24" s="222"/>
      <c r="CL24" s="55"/>
      <c r="CM24" s="55"/>
      <c r="CN24" s="55"/>
      <c r="CO24" s="55"/>
      <c r="CP24" s="55"/>
      <c r="CQ24" s="55"/>
      <c r="CR24" s="55"/>
      <c r="CS24" s="55"/>
      <c r="CT24" s="55"/>
      <c r="CU24" s="55"/>
      <c r="CV24" s="55"/>
      <c r="CW24" s="55"/>
      <c r="CX24" s="55"/>
      <c r="CY24" s="55"/>
      <c r="CZ24" s="55"/>
      <c r="DA24" s="55"/>
      <c r="DB24" s="55"/>
      <c r="DC24" s="55"/>
      <c r="DD24" s="55"/>
      <c r="DE24" s="55"/>
      <c r="DF24" s="55"/>
      <c r="DG24" s="55"/>
      <c r="DH24" s="55"/>
      <c r="DI24" s="55"/>
      <c r="DJ24" s="55"/>
      <c r="DK24" s="55"/>
      <c r="DL24" s="55"/>
      <c r="DM24" s="55"/>
      <c r="DN24" s="55"/>
      <c r="DO24" s="55"/>
      <c r="DP24" s="55"/>
      <c r="DQ24" s="55"/>
      <c r="DR24" s="55"/>
      <c r="DS24" s="55"/>
      <c r="DT24" s="55"/>
      <c r="DU24" s="55"/>
      <c r="DV24" s="55"/>
      <c r="DW24" s="55"/>
      <c r="DX24" s="55"/>
      <c r="DY24" s="55"/>
      <c r="DZ24" s="55"/>
      <c r="EA24" s="55"/>
      <c r="EB24" s="55"/>
      <c r="EC24" s="55"/>
      <c r="ED24" s="55"/>
      <c r="EE24" s="55"/>
      <c r="EF24" s="55"/>
      <c r="EG24" s="55"/>
      <c r="EH24" s="55"/>
      <c r="EI24" s="55"/>
      <c r="EJ24" s="55"/>
      <c r="EK24" s="55"/>
      <c r="EL24" s="55"/>
      <c r="EM24" s="55"/>
      <c r="EN24" s="55"/>
      <c r="EO24" s="55"/>
      <c r="EP24" s="55"/>
      <c r="EQ24" s="55"/>
      <c r="ER24" s="55"/>
      <c r="ES24" s="55"/>
      <c r="ET24" s="55"/>
      <c r="EU24" s="55"/>
      <c r="EV24" s="55"/>
      <c r="EW24" s="55"/>
      <c r="EX24" s="55"/>
      <c r="EY24" s="55"/>
      <c r="EZ24" s="55"/>
      <c r="FA24" s="55"/>
      <c r="FB24" s="55"/>
      <c r="FC24" s="55"/>
      <c r="FD24" s="55"/>
      <c r="FE24" s="55"/>
      <c r="FF24" s="55"/>
      <c r="FG24" s="55"/>
      <c r="FH24" s="55"/>
      <c r="FI24" s="55"/>
      <c r="FJ24" s="55"/>
      <c r="FK24" s="55"/>
      <c r="FL24" s="55"/>
      <c r="FM24" s="55"/>
      <c r="FN24" s="55"/>
      <c r="FO24" s="55"/>
      <c r="FP24" s="55"/>
      <c r="FQ24" s="55"/>
      <c r="FR24" s="55"/>
      <c r="FS24" s="55"/>
      <c r="FT24" s="55"/>
      <c r="FU24" s="55"/>
      <c r="FV24" s="55"/>
      <c r="FW24" s="55"/>
    </row>
    <row r="25" spans="1:179" s="57" customFormat="1" ht="9.75" customHeight="1" x14ac:dyDescent="0.15">
      <c r="A25" s="468" t="s">
        <v>148</v>
      </c>
      <c r="B25" s="213">
        <v>0.01</v>
      </c>
      <c r="C25" s="214">
        <v>0.02</v>
      </c>
      <c r="D25" s="224"/>
      <c r="E25" s="225"/>
      <c r="F25" s="215">
        <v>0</v>
      </c>
      <c r="G25" s="216">
        <v>0</v>
      </c>
      <c r="H25" s="223">
        <v>0</v>
      </c>
      <c r="I25" s="223">
        <v>0</v>
      </c>
      <c r="J25" s="217">
        <f t="shared" si="97"/>
        <v>0</v>
      </c>
      <c r="K25" s="493">
        <f>SUM(IF((0*(IF(ISBLANK(E25),C25,E25)))+IF(ISBLANK(D25),B25,D25) &lt; 0, 0, (0*(IF(ISBLANK(E25),C25,E25)))+IF(ISBLANK(D25),B25,D25)))</f>
        <v>0.01</v>
      </c>
      <c r="L25" s="493">
        <f>SUM(IF((1*(IF(ISBLANK(E25),C25,E25)))+IF(ISBLANK(D25),B25,D25) &lt; 0, 0, (1*(IF(ISBLANK(E25),C25,E25)))+IF(ISBLANK(D25),B25,D25)))</f>
        <v>0.03</v>
      </c>
      <c r="M25" s="493">
        <f>SUM(IF((2*(IF(ISBLANK(E25),C25,E25)))+IF(ISBLANK(D25),B25,D25) &lt; 0, 0, (2*(IF(ISBLANK(E25),C25,E25)))+IF(ISBLANK(D25),B25,D25)))</f>
        <v>0.05</v>
      </c>
      <c r="N25" s="493">
        <f>SUM(IF((3*(IF(ISBLANK(E25),C25,E25)))+IF(ISBLANK(D25),B25,D25) &lt; 0, 0, (3*(IF(ISBLANK(E25),C25,E25)))+IF(ISBLANK(D25),B25,D25)))</f>
        <v>6.9999999999999993E-2</v>
      </c>
      <c r="O25" s="217">
        <f t="shared" si="91"/>
        <v>37337.984193185606</v>
      </c>
      <c r="P25" s="493">
        <f>SUM(IF((4*(IF(ISBLANK(E25),C25,E25)))+IF(ISBLANK(D25),B25,D25) &lt; 0, 0, (4*(IF(ISBLANK(E25),C25,E25)))+IF(ISBLANK(D25),B25,D25)))</f>
        <v>0.09</v>
      </c>
      <c r="Q25" s="493">
        <f>SUM(IF((5*(IF(ISBLANK(E25),C25,E25)))+IF(ISBLANK(D25),B25,D25) &lt; 0, 0, (5*(IF(ISBLANK(E25),C25,E25)))+IF(ISBLANK(D25),B25,D25)))</f>
        <v>0.11</v>
      </c>
      <c r="R25" s="493">
        <f>SUM(IF((6*(IF(ISBLANK(E25),C25,E25)))+IF(ISBLANK(D25),B25,D25) &lt; 0, 0, (6*(IF(ISBLANK(E25),C25,E25)))+IF(ISBLANK(D25),B25,D25)))</f>
        <v>0.13</v>
      </c>
      <c r="S25" s="493">
        <f>SUM(IF((7*(IF(ISBLANK(E25),C25,E25)))+IF(ISBLANK(D25),B25,D25) &lt; 0, 0, (7*(IF(ISBLANK(E25),C25,E25)))+IF(ISBLANK(D25),B25,D25)))</f>
        <v>0.15000000000000002</v>
      </c>
      <c r="T25" s="218">
        <f t="shared" si="96"/>
        <v>360295.23865078844</v>
      </c>
      <c r="U25" s="247"/>
      <c r="V25" s="213">
        <f>SUM(IF((9*(IF(ISBLANK(E25),C25,E25)))+IF(ISBLANK(D25),B25,D25) &lt; 0, 0, (9*(IF(ISBLANK(E25),C25,E25)))+IF(ISBLANK(D25),B25,D25)))*12</f>
        <v>2.2800000000000002</v>
      </c>
      <c r="W25" s="219">
        <f>SUM(IF((11*(IF(ISBLANK(E25),C25,E25)))+IF(ISBLANK(D25),B25,D25) &lt; 0, 0, (11*(IF(ISBLANK(E25),C25,E25)))+IF(ISBLANK(D25),B25,D25)))*12</f>
        <v>2.7600000000000002</v>
      </c>
      <c r="X25" s="220">
        <f>SUM(IF((13*(IF(ISBLANK(E25),C25,E25)))+IF(ISBLANK(D25),B25,D25) &lt; 0, 0, (13*(IF(ISBLANK(E25),C25,E25)))+IF(ISBLANK(D25),B25,D25)))*12</f>
        <v>3.24</v>
      </c>
      <c r="Y25" s="221"/>
      <c r="Z25" s="578">
        <v>0</v>
      </c>
      <c r="AA25" s="617"/>
      <c r="AB25" s="532">
        <f>SUM(AB18*F25)</f>
        <v>0</v>
      </c>
      <c r="AC25" s="492">
        <f>SUM(AC18*F25)</f>
        <v>0</v>
      </c>
      <c r="AD25" s="492">
        <f>SUM(AD18*F25)</f>
        <v>0</v>
      </c>
      <c r="AE25" s="492">
        <f t="shared" si="70"/>
        <v>0</v>
      </c>
      <c r="AF25" s="222"/>
      <c r="AG25" s="532">
        <f>SUM(AG18*G25)</f>
        <v>0</v>
      </c>
      <c r="AH25" s="492">
        <f>SUM(AH18*G25)</f>
        <v>0</v>
      </c>
      <c r="AI25" s="492">
        <f>SUM(AI18*G25)</f>
        <v>0</v>
      </c>
      <c r="AJ25" s="492">
        <f t="shared" si="71"/>
        <v>0</v>
      </c>
      <c r="AK25" s="222"/>
      <c r="AL25" s="532">
        <f t="shared" si="72"/>
        <v>0</v>
      </c>
      <c r="AM25" s="492">
        <f t="shared" si="73"/>
        <v>0</v>
      </c>
      <c r="AN25" s="492">
        <f t="shared" si="74"/>
        <v>0</v>
      </c>
      <c r="AO25" s="492">
        <f t="shared" si="75"/>
        <v>0</v>
      </c>
      <c r="AP25" s="222"/>
      <c r="AQ25" s="532">
        <f>SUM(AQ18*I25)</f>
        <v>0</v>
      </c>
      <c r="AR25" s="492">
        <f>SUM(AR18*I25)</f>
        <v>0</v>
      </c>
      <c r="AS25" s="492">
        <f>SUM(AS18*I25)</f>
        <v>0</v>
      </c>
      <c r="AT25" s="492">
        <f t="shared" si="76"/>
        <v>0</v>
      </c>
      <c r="AU25" s="222"/>
      <c r="AV25" s="617"/>
      <c r="AW25" s="532">
        <f>SUM(AW18*K25)</f>
        <v>378.59594233875134</v>
      </c>
      <c r="AX25" s="492">
        <f>SUM(AX18*K25)</f>
        <v>419.9303076693281</v>
      </c>
      <c r="AY25" s="492">
        <f>SUM(AY18*K25)</f>
        <v>459.89972966333619</v>
      </c>
      <c r="AZ25" s="492">
        <f t="shared" si="77"/>
        <v>1258.4259796714155</v>
      </c>
      <c r="BA25" s="222"/>
      <c r="BB25" s="532">
        <f>SUM(BB18*L25)</f>
        <v>1534.9668545931759</v>
      </c>
      <c r="BC25" s="492">
        <f>SUM(BC18*L25)</f>
        <v>1685.8828125135663</v>
      </c>
      <c r="BD25" s="492">
        <f>SUM(BD18*L25)</f>
        <v>1832.5690286458987</v>
      </c>
      <c r="BE25" s="492">
        <f t="shared" si="78"/>
        <v>5053.4186957526408</v>
      </c>
      <c r="BF25" s="222"/>
      <c r="BG25" s="532">
        <f>SUM(BG18*M25)</f>
        <v>3350.4264534528893</v>
      </c>
      <c r="BH25" s="492">
        <f>SUM(BH18*M25)</f>
        <v>3640.9345833010011</v>
      </c>
      <c r="BI25" s="492">
        <f>SUM(BI18*M25)</f>
        <v>3925.9133871810081</v>
      </c>
      <c r="BJ25" s="492">
        <f t="shared" si="79"/>
        <v>10917.274423934898</v>
      </c>
      <c r="BK25" s="222"/>
      <c r="BL25" s="532">
        <f>SUM(BL18*N25)</f>
        <v>6103.6718684653742</v>
      </c>
      <c r="BM25" s="492">
        <f>SUM(BM18*N25)</f>
        <v>6704.9672178851561</v>
      </c>
      <c r="BN25" s="492">
        <f>SUM(BN18*N25)</f>
        <v>7300.2260074761207</v>
      </c>
      <c r="BO25" s="492">
        <f t="shared" si="80"/>
        <v>20108.865093826651</v>
      </c>
      <c r="BP25" s="222"/>
      <c r="BQ25" s="221"/>
      <c r="BR25" s="532">
        <f>SUM(BR18*P25)</f>
        <v>10520.884301353462</v>
      </c>
      <c r="BS25" s="492">
        <f>SUM(BS18*P25)</f>
        <v>11654.57500482095</v>
      </c>
      <c r="BT25" s="492">
        <f>SUM(BT18*P25)</f>
        <v>12787.078222295644</v>
      </c>
      <c r="BU25" s="492">
        <f t="shared" si="81"/>
        <v>34962.537528470057</v>
      </c>
      <c r="BV25" s="222"/>
      <c r="BW25" s="532">
        <f>SUM(BW18*Q25)</f>
        <v>17670.14126491213</v>
      </c>
      <c r="BX25" s="492">
        <f>SUM(BX18*Q25)</f>
        <v>19727.84436869312</v>
      </c>
      <c r="BY25" s="492">
        <f>SUM(BY18*Q25)</f>
        <v>21801.889231478533</v>
      </c>
      <c r="BZ25" s="492">
        <f t="shared" si="82"/>
        <v>59199.874865083781</v>
      </c>
      <c r="CA25" s="222"/>
      <c r="CB25" s="532">
        <f>SUM(CB18*R25)</f>
        <v>29394.724684713368</v>
      </c>
      <c r="CC25" s="492">
        <f>SUM(CC18*R25)</f>
        <v>33085.008301793423</v>
      </c>
      <c r="CD25" s="492">
        <f>SUM(CD18*R25)</f>
        <v>36837.759775532497</v>
      </c>
      <c r="CE25" s="492">
        <f t="shared" si="83"/>
        <v>99317.492762039285</v>
      </c>
      <c r="CF25" s="222"/>
      <c r="CG25" s="532">
        <f>SUM(CG18*S25)</f>
        <v>48943.184844137882</v>
      </c>
      <c r="CH25" s="492">
        <f>SUM(CH18*S25)</f>
        <v>55548.068478483692</v>
      </c>
      <c r="CI25" s="492">
        <f>SUM(CI18*S25)</f>
        <v>62324.080172573762</v>
      </c>
      <c r="CJ25" s="492">
        <f t="shared" si="84"/>
        <v>166815.33349519534</v>
      </c>
      <c r="CK25" s="222"/>
      <c r="CL25" s="55"/>
      <c r="CM25" s="55"/>
      <c r="CN25" s="55"/>
      <c r="CO25" s="55"/>
      <c r="CP25" s="55"/>
      <c r="CQ25" s="55"/>
      <c r="CR25" s="55"/>
      <c r="CS25" s="55"/>
      <c r="CT25" s="55"/>
      <c r="CU25" s="55"/>
      <c r="CV25" s="55"/>
      <c r="CW25" s="55"/>
      <c r="CX25" s="55"/>
      <c r="CY25" s="55"/>
      <c r="CZ25" s="55"/>
      <c r="DA25" s="55"/>
      <c r="DB25" s="55"/>
      <c r="DC25" s="55"/>
      <c r="DD25" s="55"/>
      <c r="DE25" s="55"/>
      <c r="DF25" s="55"/>
      <c r="DG25" s="55"/>
      <c r="DH25" s="55"/>
      <c r="DI25" s="55"/>
      <c r="DJ25" s="55"/>
      <c r="DK25" s="55"/>
      <c r="DL25" s="55"/>
      <c r="DM25" s="55"/>
      <c r="DN25" s="55"/>
      <c r="DO25" s="55"/>
      <c r="DP25" s="55"/>
      <c r="DQ25" s="55"/>
      <c r="DR25" s="55"/>
      <c r="DS25" s="55"/>
      <c r="DT25" s="55"/>
      <c r="DU25" s="55"/>
      <c r="DV25" s="55"/>
      <c r="DW25" s="55"/>
      <c r="DX25" s="55"/>
      <c r="DY25" s="55"/>
      <c r="DZ25" s="55"/>
      <c r="EA25" s="55"/>
      <c r="EB25" s="55"/>
      <c r="EC25" s="55"/>
      <c r="ED25" s="55"/>
      <c r="EE25" s="55"/>
      <c r="EF25" s="55"/>
      <c r="EG25" s="55"/>
      <c r="EH25" s="55"/>
      <c r="EI25" s="55"/>
      <c r="EJ25" s="55"/>
      <c r="EK25" s="55"/>
      <c r="EL25" s="55"/>
      <c r="EM25" s="55"/>
      <c r="EN25" s="55"/>
      <c r="EO25" s="55"/>
      <c r="EP25" s="55"/>
      <c r="EQ25" s="55"/>
      <c r="ER25" s="55"/>
      <c r="ES25" s="55"/>
      <c r="ET25" s="55"/>
      <c r="EU25" s="55"/>
      <c r="EV25" s="55"/>
      <c r="EW25" s="55"/>
      <c r="EX25" s="55"/>
      <c r="EY25" s="55"/>
      <c r="EZ25" s="55"/>
      <c r="FA25" s="55"/>
      <c r="FB25" s="55"/>
      <c r="FC25" s="55"/>
      <c r="FD25" s="55"/>
      <c r="FE25" s="55"/>
      <c r="FF25" s="55"/>
      <c r="FG25" s="55"/>
      <c r="FH25" s="55"/>
      <c r="FI25" s="55"/>
      <c r="FJ25" s="55"/>
      <c r="FK25" s="55"/>
      <c r="FL25" s="55"/>
      <c r="FM25" s="55"/>
      <c r="FN25" s="55"/>
      <c r="FO25" s="55"/>
      <c r="FP25" s="55"/>
      <c r="FQ25" s="55"/>
      <c r="FR25" s="55"/>
      <c r="FS25" s="55"/>
      <c r="FT25" s="55"/>
      <c r="FU25" s="55"/>
      <c r="FV25" s="55"/>
      <c r="FW25" s="55"/>
    </row>
    <row r="26" spans="1:179" s="57" customFormat="1" ht="9.75" customHeight="1" x14ac:dyDescent="0.15">
      <c r="A26" s="468" t="s">
        <v>149</v>
      </c>
      <c r="B26" s="213">
        <v>0.01</v>
      </c>
      <c r="C26" s="299">
        <v>0.01</v>
      </c>
      <c r="D26" s="224"/>
      <c r="E26" s="225"/>
      <c r="F26" s="215">
        <v>0</v>
      </c>
      <c r="G26" s="216">
        <v>0</v>
      </c>
      <c r="H26" s="223">
        <v>0</v>
      </c>
      <c r="I26" s="223">
        <v>0</v>
      </c>
      <c r="J26" s="217">
        <f t="shared" si="97"/>
        <v>0</v>
      </c>
      <c r="K26" s="493">
        <f>SUM(IF((0*(IF(ISBLANK(E26),C26,E26)))+IF(ISBLANK(D26),B26,D26) &lt; 0, 0, (0*(IF(ISBLANK(E26),C26,E26)))+IF(ISBLANK(D26),B26,D26)))</f>
        <v>0.01</v>
      </c>
      <c r="L26" s="493">
        <f>SUM(IF((1*(IF(ISBLANK(E26),C26,E26)))+IF(ISBLANK(D26),B26,D26) &lt; 0, 0, (1*(IF(ISBLANK(E26),C26,E26)))+IF(ISBLANK(D26),B26,D26)))</f>
        <v>0.02</v>
      </c>
      <c r="M26" s="493">
        <f>SUM(IF((2*(IF(ISBLANK(E26),C26,E26)))+IF(ISBLANK(D26),B26,D26) &lt; 0, 0, (2*(IF(ISBLANK(E26),C26,E26)))+IF(ISBLANK(D26),B26,D26)))</f>
        <v>0.03</v>
      </c>
      <c r="N26" s="493">
        <f>SUM(IF((3*(IF(ISBLANK(E26),C26,E26)))+IF(ISBLANK(D26),B26,D26) &lt; 0, 0, (3*(IF(ISBLANK(E26),C26,E26)))+IF(ISBLANK(D26),B26,D26)))</f>
        <v>0.04</v>
      </c>
      <c r="O26" s="217">
        <f t="shared" si="91"/>
        <v>22668.516484816013</v>
      </c>
      <c r="P26" s="493">
        <f>SUM(IF((4*(IF(ISBLANK(E26),C26,E26)))+IF(ISBLANK(D26),B26,D26) &lt; 0, 0, (4*(IF(ISBLANK(E26),C26,E26)))+IF(ISBLANK(D26),B26,D26)))</f>
        <v>0.05</v>
      </c>
      <c r="Q26" s="493">
        <f>SUM(IF((5*(IF(ISBLANK(E26),C26,E26)))+IF(ISBLANK(D26),B26,D26) &lt; 0, 0, (5*(IF(ISBLANK(E26),C26,E26)))+IF(ISBLANK(D26),B26,D26)))</f>
        <v>6.0000000000000005E-2</v>
      </c>
      <c r="R26" s="493">
        <f>SUM(IF((6*(IF(ISBLANK(E26),C26,E26)))+IF(ISBLANK(D26),B26,D26) &lt; 0, 0, (6*(IF(ISBLANK(E26),C26,E26)))+IF(ISBLANK(D26),B26,D26)))</f>
        <v>6.9999999999999993E-2</v>
      </c>
      <c r="S26" s="493">
        <f>SUM(IF((7*(IF(ISBLANK(E26),C26,E26)))+IF(ISBLANK(D26),B26,D26) &lt; 0, 0, (7*(IF(ISBLANK(E26),C26,E26)))+IF(ISBLANK(D26),B26,D26)))</f>
        <v>0.08</v>
      </c>
      <c r="T26" s="218">
        <f t="shared" si="96"/>
        <v>194161.30060865593</v>
      </c>
      <c r="U26" s="247"/>
      <c r="V26" s="213">
        <f>SUM(IF((9*(IF(ISBLANK(E26),C26,E26)))+IF(ISBLANK(D26),B26,D26) &lt; 0, 0, (9*(IF(ISBLANK(E26),C26,E26)))+IF(ISBLANK(D26),B26,D26)))*12</f>
        <v>1.2</v>
      </c>
      <c r="W26" s="219">
        <f>SUM(IF((11*(IF(ISBLANK(E26),C26,E26)))+IF(ISBLANK(D26),B26,D26) &lt; 0, 0, (11*(IF(ISBLANK(E26),C26,E26)))+IF(ISBLANK(D26),B26,D26)))*12</f>
        <v>1.44</v>
      </c>
      <c r="X26" s="220">
        <f>SUM(IF((13*(IF(ISBLANK(E26),C26,E26)))+IF(ISBLANK(D26),B26,D26) &lt; 0, 0, (13*(IF(ISBLANK(E26),C26,E26)))+IF(ISBLANK(D26),B26,D26)))*12</f>
        <v>1.6800000000000002</v>
      </c>
      <c r="Y26" s="221"/>
      <c r="Z26" s="578">
        <v>0</v>
      </c>
      <c r="AA26" s="617"/>
      <c r="AB26" s="532">
        <f>SUM(AB18*F26)</f>
        <v>0</v>
      </c>
      <c r="AC26" s="492">
        <f>SUM(AC18*F26)</f>
        <v>0</v>
      </c>
      <c r="AD26" s="492">
        <f>SUM(AD18*F26)</f>
        <v>0</v>
      </c>
      <c r="AE26" s="492">
        <f t="shared" si="70"/>
        <v>0</v>
      </c>
      <c r="AF26" s="222"/>
      <c r="AG26" s="532">
        <f>SUM(AG18*G26)</f>
        <v>0</v>
      </c>
      <c r="AH26" s="492">
        <f>SUM(AH18*G26)</f>
        <v>0</v>
      </c>
      <c r="AI26" s="492">
        <f>SUM(AI18*G26)</f>
        <v>0</v>
      </c>
      <c r="AJ26" s="492">
        <f t="shared" si="71"/>
        <v>0</v>
      </c>
      <c r="AK26" s="222"/>
      <c r="AL26" s="532">
        <f t="shared" si="72"/>
        <v>0</v>
      </c>
      <c r="AM26" s="492">
        <f t="shared" si="73"/>
        <v>0</v>
      </c>
      <c r="AN26" s="492">
        <f t="shared" si="74"/>
        <v>0</v>
      </c>
      <c r="AO26" s="492">
        <f t="shared" si="75"/>
        <v>0</v>
      </c>
      <c r="AP26" s="222"/>
      <c r="AQ26" s="532">
        <f>SUM(AQ18*I26)</f>
        <v>0</v>
      </c>
      <c r="AR26" s="492">
        <f>SUM(AR18*I26)</f>
        <v>0</v>
      </c>
      <c r="AS26" s="492">
        <f>SUM(AS18*I26)</f>
        <v>0</v>
      </c>
      <c r="AT26" s="492">
        <f t="shared" si="76"/>
        <v>0</v>
      </c>
      <c r="AU26" s="222"/>
      <c r="AV26" s="617"/>
      <c r="AW26" s="532">
        <f>SUM(AW18*K26)</f>
        <v>378.59594233875134</v>
      </c>
      <c r="AX26" s="492">
        <f>SUM(AX18*K26)</f>
        <v>419.9303076693281</v>
      </c>
      <c r="AY26" s="492">
        <f>SUM(AY18*K26)</f>
        <v>459.89972966333619</v>
      </c>
      <c r="AZ26" s="492">
        <f t="shared" si="77"/>
        <v>1258.4259796714155</v>
      </c>
      <c r="BA26" s="222"/>
      <c r="BB26" s="532">
        <f>SUM(BB18*L26)</f>
        <v>1023.3112363954507</v>
      </c>
      <c r="BC26" s="492">
        <f>SUM(BC18*L26)</f>
        <v>1123.9218750090442</v>
      </c>
      <c r="BD26" s="492">
        <f>SUM(BD18*L26)</f>
        <v>1221.7126857639325</v>
      </c>
      <c r="BE26" s="492">
        <f t="shared" si="78"/>
        <v>3368.9457971684278</v>
      </c>
      <c r="BF26" s="222"/>
      <c r="BG26" s="532">
        <f>SUM(BG18*M26)</f>
        <v>2010.2558720717334</v>
      </c>
      <c r="BH26" s="492">
        <f>SUM(BH18*M26)</f>
        <v>2184.5607499806006</v>
      </c>
      <c r="BI26" s="492">
        <f>SUM(BI18*M26)</f>
        <v>2355.5480323086049</v>
      </c>
      <c r="BJ26" s="492">
        <f t="shared" si="79"/>
        <v>6550.3646543609393</v>
      </c>
      <c r="BK26" s="222"/>
      <c r="BL26" s="532">
        <f>SUM(BL18*N26)</f>
        <v>3487.8124962659285</v>
      </c>
      <c r="BM26" s="492">
        <f>SUM(BM18*N26)</f>
        <v>3831.4098387915183</v>
      </c>
      <c r="BN26" s="492">
        <f>SUM(BN18*N26)</f>
        <v>4171.557718557784</v>
      </c>
      <c r="BO26" s="492">
        <f t="shared" si="80"/>
        <v>11490.780053615232</v>
      </c>
      <c r="BP26" s="222"/>
      <c r="BQ26" s="221"/>
      <c r="BR26" s="532">
        <f>SUM(BR18*P26)</f>
        <v>5844.9357229741472</v>
      </c>
      <c r="BS26" s="492">
        <f>SUM(BS18*P26)</f>
        <v>6474.763891567196</v>
      </c>
      <c r="BT26" s="492">
        <f>SUM(BT18*P26)</f>
        <v>7103.9323457198034</v>
      </c>
      <c r="BU26" s="492">
        <f t="shared" si="81"/>
        <v>19423.631960261147</v>
      </c>
      <c r="BV26" s="222"/>
      <c r="BW26" s="532">
        <f>SUM(BW18*Q26)</f>
        <v>9638.2588717702529</v>
      </c>
      <c r="BX26" s="492">
        <f>SUM(BX18*Q26)</f>
        <v>10760.642382923521</v>
      </c>
      <c r="BY26" s="492">
        <f>SUM(BY18*Q26)</f>
        <v>11891.939580806475</v>
      </c>
      <c r="BZ26" s="492">
        <f t="shared" si="82"/>
        <v>32290.840835500247</v>
      </c>
      <c r="CA26" s="222"/>
      <c r="CB26" s="532">
        <f>SUM(CB18*R26)</f>
        <v>15827.928676384119</v>
      </c>
      <c r="CC26" s="492">
        <f>SUM(CC18*R26)</f>
        <v>17815.004470196458</v>
      </c>
      <c r="CD26" s="492">
        <f>SUM(CD18*R26)</f>
        <v>19835.716802209805</v>
      </c>
      <c r="CE26" s="492">
        <f t="shared" si="83"/>
        <v>53478.649948790378</v>
      </c>
      <c r="CF26" s="222"/>
      <c r="CG26" s="532">
        <f>SUM(CG18*S26)</f>
        <v>26103.031916873533</v>
      </c>
      <c r="CH26" s="492">
        <f>SUM(CH18*S26)</f>
        <v>29625.636521857963</v>
      </c>
      <c r="CI26" s="492">
        <f>SUM(CI18*S26)</f>
        <v>33239.509425372671</v>
      </c>
      <c r="CJ26" s="492">
        <f t="shared" si="84"/>
        <v>88968.17786410416</v>
      </c>
      <c r="CK26" s="222"/>
      <c r="CL26" s="55"/>
      <c r="CM26" s="55"/>
      <c r="CN26" s="55"/>
      <c r="CO26" s="55"/>
      <c r="CP26" s="55"/>
      <c r="CQ26" s="55"/>
      <c r="CR26" s="55"/>
      <c r="CS26" s="55"/>
      <c r="CT26" s="55"/>
      <c r="CU26" s="55"/>
      <c r="CV26" s="55"/>
      <c r="CW26" s="55"/>
      <c r="CX26" s="55"/>
      <c r="CY26" s="55"/>
      <c r="CZ26" s="55"/>
      <c r="DA26" s="55"/>
      <c r="DB26" s="55"/>
      <c r="DC26" s="55"/>
      <c r="DD26" s="55"/>
      <c r="DE26" s="55"/>
      <c r="DF26" s="55"/>
      <c r="DG26" s="55"/>
      <c r="DH26" s="55"/>
      <c r="DI26" s="55"/>
      <c r="DJ26" s="55"/>
      <c r="DK26" s="55"/>
      <c r="DL26" s="55"/>
      <c r="DM26" s="55"/>
      <c r="DN26" s="55"/>
      <c r="DO26" s="55"/>
      <c r="DP26" s="55"/>
      <c r="DQ26" s="55"/>
      <c r="DR26" s="55"/>
      <c r="DS26" s="55"/>
      <c r="DT26" s="55"/>
      <c r="DU26" s="55"/>
      <c r="DV26" s="55"/>
      <c r="DW26" s="55"/>
      <c r="DX26" s="55"/>
      <c r="DY26" s="55"/>
      <c r="DZ26" s="55"/>
      <c r="EA26" s="55"/>
      <c r="EB26" s="55"/>
      <c r="EC26" s="55"/>
      <c r="ED26" s="55"/>
      <c r="EE26" s="55"/>
      <c r="EF26" s="55"/>
      <c r="EG26" s="55"/>
      <c r="EH26" s="55"/>
      <c r="EI26" s="55"/>
      <c r="EJ26" s="55"/>
      <c r="EK26" s="55"/>
      <c r="EL26" s="55"/>
      <c r="EM26" s="55"/>
      <c r="EN26" s="55"/>
      <c r="EO26" s="55"/>
      <c r="EP26" s="55"/>
      <c r="EQ26" s="55"/>
      <c r="ER26" s="55"/>
      <c r="ES26" s="55"/>
      <c r="ET26" s="55"/>
      <c r="EU26" s="55"/>
      <c r="EV26" s="55"/>
      <c r="EW26" s="55"/>
      <c r="EX26" s="55"/>
      <c r="EY26" s="55"/>
      <c r="EZ26" s="55"/>
      <c r="FA26" s="55"/>
      <c r="FB26" s="55"/>
      <c r="FC26" s="55"/>
      <c r="FD26" s="55"/>
      <c r="FE26" s="55"/>
      <c r="FF26" s="55"/>
      <c r="FG26" s="55"/>
      <c r="FH26" s="55"/>
      <c r="FI26" s="55"/>
      <c r="FJ26" s="55"/>
      <c r="FK26" s="55"/>
      <c r="FL26" s="55"/>
      <c r="FM26" s="55"/>
      <c r="FN26" s="55"/>
      <c r="FO26" s="55"/>
      <c r="FP26" s="55"/>
      <c r="FQ26" s="55"/>
      <c r="FR26" s="55"/>
      <c r="FS26" s="55"/>
      <c r="FT26" s="55"/>
      <c r="FU26" s="55"/>
      <c r="FV26" s="55"/>
      <c r="FW26" s="55"/>
    </row>
    <row r="27" spans="1:179" s="57" customFormat="1" ht="9.75" customHeight="1" x14ac:dyDescent="0.15">
      <c r="A27" s="468" t="s">
        <v>150</v>
      </c>
      <c r="B27" s="213">
        <v>0</v>
      </c>
      <c r="C27" s="214">
        <v>0</v>
      </c>
      <c r="D27" s="224"/>
      <c r="E27" s="225"/>
      <c r="F27" s="215">
        <v>0</v>
      </c>
      <c r="G27" s="216">
        <v>0</v>
      </c>
      <c r="H27" s="223">
        <v>0</v>
      </c>
      <c r="I27" s="223">
        <v>0</v>
      </c>
      <c r="J27" s="217">
        <f t="shared" si="97"/>
        <v>0</v>
      </c>
      <c r="K27" s="223">
        <v>0</v>
      </c>
      <c r="L27" s="223">
        <v>0</v>
      </c>
      <c r="M27" s="223">
        <v>0</v>
      </c>
      <c r="N27" s="223">
        <v>0</v>
      </c>
      <c r="O27" s="217">
        <f t="shared" si="91"/>
        <v>0</v>
      </c>
      <c r="P27" s="493">
        <f>SUM(IF((0*(IF(ISBLANK(E27),C27,E27)))+IF(ISBLANK(D27),B27,D27) &lt; 0, 0, (0*(IF(ISBLANK(E27),C27,E27)))+IF(ISBLANK(D27),B27,D27)))</f>
        <v>0</v>
      </c>
      <c r="Q27" s="493">
        <f>SUM(IF((1*(IF(ISBLANK(E27),C27,E27)))+IF(ISBLANK(D27),B27,D27) &lt; 0, 0, (1*(IF(ISBLANK(E27),C27,E27)))+IF(ISBLANK(D27),B27,D27)))</f>
        <v>0</v>
      </c>
      <c r="R27" s="493">
        <f>SUM(IF((2*(IF(ISBLANK(E27),C27,E27)))+IF(ISBLANK(D27),B27,D27) &lt; 0, 0, (2*(IF(ISBLANK(E27),C27,E27)))+IF(ISBLANK(D27),B27,D27)))</f>
        <v>0</v>
      </c>
      <c r="S27" s="493">
        <f>SUM(IF((3*(IF(ISBLANK(E27),C27,E27)))+IF(ISBLANK(D27),B27,D27) &lt; 0, 0, (3*(IF(ISBLANK(E27),C27,E27)))+IF(ISBLANK(D27),B27,D27)))</f>
        <v>0</v>
      </c>
      <c r="T27" s="218">
        <f t="shared" si="96"/>
        <v>0</v>
      </c>
      <c r="U27" s="247"/>
      <c r="V27" s="213">
        <f>SUM(IF((5*(IF(ISBLANK(E27),C27,E27)))+IF(ISBLANK(D27),B27,D27) &lt; 0, 0, (5*(IF(ISBLANK(E27),C27,E27)))+IF(ISBLANK(D27),B27,D27)))*12</f>
        <v>0</v>
      </c>
      <c r="W27" s="219">
        <f>SUM(IF((7*(IF(ISBLANK(E27),C27,E27)))+IF(ISBLANK(D27),B27,D27) &lt; 0, 0, (7*(IF(ISBLANK(E27),C27,E27)))+IF(ISBLANK(D27),B27,D27)))*12</f>
        <v>0</v>
      </c>
      <c r="X27" s="220">
        <f>SUM(IF((9*(IF(ISBLANK(E27),C27,E27)))+IF(ISBLANK(D27),B27,D27) &lt; 0, 0, (9*(IF(ISBLANK(E27),C27,E27)))+IF(ISBLANK(D27),B27,D27)))*12</f>
        <v>0</v>
      </c>
      <c r="Y27" s="221"/>
      <c r="Z27" s="578">
        <v>0</v>
      </c>
      <c r="AA27" s="617"/>
      <c r="AB27" s="532">
        <f>SUM(AB18*F27)</f>
        <v>0</v>
      </c>
      <c r="AC27" s="492">
        <f>SUM(AC18*F27)</f>
        <v>0</v>
      </c>
      <c r="AD27" s="492">
        <f>SUM(AD18*F27)</f>
        <v>0</v>
      </c>
      <c r="AE27" s="492">
        <f t="shared" si="70"/>
        <v>0</v>
      </c>
      <c r="AF27" s="222"/>
      <c r="AG27" s="532">
        <f>SUM(AG18*G27)</f>
        <v>0</v>
      </c>
      <c r="AH27" s="492">
        <f>SUM(AH18*G27)</f>
        <v>0</v>
      </c>
      <c r="AI27" s="492">
        <f>SUM(AI18*G27)</f>
        <v>0</v>
      </c>
      <c r="AJ27" s="492">
        <f t="shared" si="71"/>
        <v>0</v>
      </c>
      <c r="AK27" s="222"/>
      <c r="AL27" s="532">
        <f t="shared" si="72"/>
        <v>0</v>
      </c>
      <c r="AM27" s="492">
        <f t="shared" si="73"/>
        <v>0</v>
      </c>
      <c r="AN27" s="492">
        <f t="shared" si="74"/>
        <v>0</v>
      </c>
      <c r="AO27" s="492">
        <f t="shared" si="75"/>
        <v>0</v>
      </c>
      <c r="AP27" s="222"/>
      <c r="AQ27" s="532">
        <f>SUM(AQ18*I27)</f>
        <v>0</v>
      </c>
      <c r="AR27" s="492">
        <f>SUM(AR18*I27)</f>
        <v>0</v>
      </c>
      <c r="AS27" s="492">
        <f>SUM(AS18*I27)</f>
        <v>0</v>
      </c>
      <c r="AT27" s="492">
        <f t="shared" si="76"/>
        <v>0</v>
      </c>
      <c r="AU27" s="222"/>
      <c r="AV27" s="617"/>
      <c r="AW27" s="532">
        <f>SUM(AW18*K27)</f>
        <v>0</v>
      </c>
      <c r="AX27" s="492">
        <f>SUM(AX18*K27)</f>
        <v>0</v>
      </c>
      <c r="AY27" s="492">
        <f>SUM(AY18*K27)</f>
        <v>0</v>
      </c>
      <c r="AZ27" s="492">
        <f t="shared" si="77"/>
        <v>0</v>
      </c>
      <c r="BA27" s="222"/>
      <c r="BB27" s="532">
        <f>SUM(BB18*L27)</f>
        <v>0</v>
      </c>
      <c r="BC27" s="492">
        <f>SUM(BC18*L27)</f>
        <v>0</v>
      </c>
      <c r="BD27" s="492">
        <f>SUM(BD18*L27)</f>
        <v>0</v>
      </c>
      <c r="BE27" s="492">
        <f t="shared" si="78"/>
        <v>0</v>
      </c>
      <c r="BF27" s="222"/>
      <c r="BG27" s="532">
        <f>SUM(BG18*M27)</f>
        <v>0</v>
      </c>
      <c r="BH27" s="492">
        <f>SUM(BH18*M27)</f>
        <v>0</v>
      </c>
      <c r="BI27" s="492">
        <f>SUM(BI18*M27)</f>
        <v>0</v>
      </c>
      <c r="BJ27" s="492">
        <f t="shared" si="79"/>
        <v>0</v>
      </c>
      <c r="BK27" s="222"/>
      <c r="BL27" s="532">
        <f>SUM(BL18*N27)</f>
        <v>0</v>
      </c>
      <c r="BM27" s="492">
        <f>SUM(BM18*N27)</f>
        <v>0</v>
      </c>
      <c r="BN27" s="492">
        <f>SUM(BN18*N27)</f>
        <v>0</v>
      </c>
      <c r="BO27" s="492">
        <f t="shared" si="80"/>
        <v>0</v>
      </c>
      <c r="BP27" s="222"/>
      <c r="BQ27" s="221"/>
      <c r="BR27" s="532">
        <f>SUM(BR18*P27)</f>
        <v>0</v>
      </c>
      <c r="BS27" s="492">
        <f>SUM(BS18*P27)</f>
        <v>0</v>
      </c>
      <c r="BT27" s="492">
        <f>SUM(BT18*P27)</f>
        <v>0</v>
      </c>
      <c r="BU27" s="492">
        <f t="shared" si="81"/>
        <v>0</v>
      </c>
      <c r="BV27" s="222"/>
      <c r="BW27" s="532">
        <f>SUM(BW18*Q27)</f>
        <v>0</v>
      </c>
      <c r="BX27" s="492">
        <f>SUM(BX18*Q27)</f>
        <v>0</v>
      </c>
      <c r="BY27" s="492">
        <f>SUM(BY18*Q27)</f>
        <v>0</v>
      </c>
      <c r="BZ27" s="492">
        <f t="shared" si="82"/>
        <v>0</v>
      </c>
      <c r="CA27" s="222"/>
      <c r="CB27" s="532">
        <f>SUM(CB18*R27)</f>
        <v>0</v>
      </c>
      <c r="CC27" s="492">
        <f>SUM(CC18*R27)</f>
        <v>0</v>
      </c>
      <c r="CD27" s="492">
        <f>SUM(CD18*R27)</f>
        <v>0</v>
      </c>
      <c r="CE27" s="492">
        <f t="shared" si="83"/>
        <v>0</v>
      </c>
      <c r="CF27" s="222"/>
      <c r="CG27" s="532">
        <f>SUM(CG18*S27)</f>
        <v>0</v>
      </c>
      <c r="CH27" s="492">
        <f>SUM(CH18*S27)</f>
        <v>0</v>
      </c>
      <c r="CI27" s="492">
        <f>SUM(CI18*S27)</f>
        <v>0</v>
      </c>
      <c r="CJ27" s="492">
        <f t="shared" si="84"/>
        <v>0</v>
      </c>
      <c r="CK27" s="222"/>
      <c r="CL27" s="55"/>
      <c r="CM27" s="55"/>
      <c r="CN27" s="55"/>
      <c r="CO27" s="55"/>
      <c r="CP27" s="55"/>
      <c r="CQ27" s="55"/>
      <c r="CR27" s="55"/>
      <c r="CS27" s="55"/>
      <c r="CT27" s="55"/>
      <c r="CU27" s="55"/>
      <c r="CV27" s="55"/>
      <c r="CW27" s="55"/>
      <c r="CX27" s="55"/>
      <c r="CY27" s="55"/>
      <c r="CZ27" s="55"/>
      <c r="DA27" s="55"/>
      <c r="DB27" s="55"/>
      <c r="DC27" s="55"/>
      <c r="DD27" s="55"/>
      <c r="DE27" s="55"/>
      <c r="DF27" s="55"/>
      <c r="DG27" s="55"/>
      <c r="DH27" s="55"/>
      <c r="DI27" s="55"/>
      <c r="DJ27" s="55"/>
      <c r="DK27" s="55"/>
      <c r="DL27" s="55"/>
      <c r="DM27" s="55"/>
      <c r="DN27" s="55"/>
      <c r="DO27" s="55"/>
      <c r="DP27" s="55"/>
      <c r="DQ27" s="55"/>
      <c r="DR27" s="55"/>
      <c r="DS27" s="55"/>
      <c r="DT27" s="55"/>
      <c r="DU27" s="55"/>
      <c r="DV27" s="55"/>
      <c r="DW27" s="55"/>
      <c r="DX27" s="55"/>
      <c r="DY27" s="55"/>
      <c r="DZ27" s="55"/>
      <c r="EA27" s="55"/>
      <c r="EB27" s="55"/>
      <c r="EC27" s="55"/>
      <c r="ED27" s="55"/>
      <c r="EE27" s="55"/>
      <c r="EF27" s="55"/>
      <c r="EG27" s="55"/>
      <c r="EH27" s="55"/>
      <c r="EI27" s="55"/>
      <c r="EJ27" s="55"/>
      <c r="EK27" s="55"/>
      <c r="EL27" s="55"/>
      <c r="EM27" s="55"/>
      <c r="EN27" s="55"/>
      <c r="EO27" s="55"/>
      <c r="EP27" s="55"/>
      <c r="EQ27" s="55"/>
      <c r="ER27" s="55"/>
      <c r="ES27" s="55"/>
      <c r="ET27" s="55"/>
      <c r="EU27" s="55"/>
      <c r="EV27" s="55"/>
      <c r="EW27" s="55"/>
      <c r="EX27" s="55"/>
      <c r="EY27" s="55"/>
      <c r="EZ27" s="55"/>
      <c r="FA27" s="55"/>
      <c r="FB27" s="55"/>
      <c r="FC27" s="55"/>
      <c r="FD27" s="55"/>
      <c r="FE27" s="55"/>
      <c r="FF27" s="55"/>
      <c r="FG27" s="55"/>
      <c r="FH27" s="55"/>
      <c r="FI27" s="55"/>
      <c r="FJ27" s="55"/>
      <c r="FK27" s="55"/>
      <c r="FL27" s="55"/>
      <c r="FM27" s="55"/>
      <c r="FN27" s="55"/>
      <c r="FO27" s="55"/>
      <c r="FP27" s="55"/>
      <c r="FQ27" s="55"/>
      <c r="FR27" s="55"/>
      <c r="FS27" s="55"/>
      <c r="FT27" s="55"/>
      <c r="FU27" s="55"/>
      <c r="FV27" s="55"/>
      <c r="FW27" s="55"/>
    </row>
    <row r="28" spans="1:179" s="57" customFormat="1" ht="9.75" customHeight="1" x14ac:dyDescent="0.15">
      <c r="A28" s="468" t="s">
        <v>151</v>
      </c>
      <c r="B28" s="213">
        <v>0</v>
      </c>
      <c r="C28" s="214">
        <v>0</v>
      </c>
      <c r="D28" s="224"/>
      <c r="E28" s="225"/>
      <c r="F28" s="215">
        <v>0</v>
      </c>
      <c r="G28" s="216">
        <v>0</v>
      </c>
      <c r="H28" s="223">
        <v>0</v>
      </c>
      <c r="I28" s="223">
        <v>0</v>
      </c>
      <c r="J28" s="217">
        <f t="shared" si="97"/>
        <v>0</v>
      </c>
      <c r="K28" s="223">
        <v>0</v>
      </c>
      <c r="L28" s="223">
        <v>0</v>
      </c>
      <c r="M28" s="223">
        <v>0</v>
      </c>
      <c r="N28" s="223">
        <v>0</v>
      </c>
      <c r="O28" s="217">
        <f t="shared" si="91"/>
        <v>0</v>
      </c>
      <c r="P28" s="493">
        <f>SUM(IF((1*(IF(ISBLANK(E28),C28,E28)))+IF(ISBLANK(D28),B28,D28) &lt; 0, 0, (1*(IF(ISBLANK(E28),C28,E28)))+IF(ISBLANK(D28),B28,D28)))</f>
        <v>0</v>
      </c>
      <c r="Q28" s="493">
        <f>SUM(IF((2*(IF(ISBLANK(E28),C28,E28)))+IF(ISBLANK(D28),B28,D28) &lt; 0, 0, (2*(IF(ISBLANK(E28),C28,E28)))+IF(ISBLANK(D28),B28,D28)))</f>
        <v>0</v>
      </c>
      <c r="R28" s="493">
        <f>SUM(IF((3*(IF(ISBLANK(E28),C28,E28)))+IF(ISBLANK(D28),B28,D28) &lt; 0, 0, (3*(IF(ISBLANK(E28),C28,E28)))+IF(ISBLANK(D28),B28,D28)))</f>
        <v>0</v>
      </c>
      <c r="S28" s="493">
        <f>SUM(IF((4*(IF(ISBLANK(E28),C28,E28)))+IF(ISBLANK(D28),B28,D28) &lt; 0, 0, (4*(IF(ISBLANK(E28),C28,E28)))+IF(ISBLANK(D28),B28,D28)))</f>
        <v>0</v>
      </c>
      <c r="T28" s="218">
        <f t="shared" si="96"/>
        <v>0</v>
      </c>
      <c r="U28" s="247"/>
      <c r="V28" s="213">
        <f>SUM(IF((6*(IF(ISBLANK(E28),C28,E28)))+IF(ISBLANK(D28),B28,D28) &lt; 0, 0, (6*(IF(ISBLANK(E28),C28,E28)))+IF(ISBLANK(D28),B28,D28)))*12</f>
        <v>0</v>
      </c>
      <c r="W28" s="219">
        <f>SUM(IF((8*(IF(ISBLANK(E28),C28,E28)))+IF(ISBLANK(D28),B28,D28) &lt; 0, 0, (8*(IF(ISBLANK(E28),C28,E28)))+IF(ISBLANK(D28),B28,D28)))*12</f>
        <v>0</v>
      </c>
      <c r="X28" s="220">
        <f>SUM(IF((10*(IF(ISBLANK(E28),C28,E28)))+IF(ISBLANK(D28),B28,D28) &lt; 0, 0, (10*(IF(ISBLANK(E28),C28,E28)))+IF(ISBLANK(D28),B28,D28)))*12</f>
        <v>0</v>
      </c>
      <c r="Y28" s="221"/>
      <c r="Z28" s="578">
        <v>0</v>
      </c>
      <c r="AA28" s="617"/>
      <c r="AB28" s="532">
        <f>SUM(AB18*F28)</f>
        <v>0</v>
      </c>
      <c r="AC28" s="492">
        <f>SUM(AC18*F28)</f>
        <v>0</v>
      </c>
      <c r="AD28" s="492">
        <f>SUM(AD18*F28)</f>
        <v>0</v>
      </c>
      <c r="AE28" s="492">
        <f t="shared" si="70"/>
        <v>0</v>
      </c>
      <c r="AF28" s="222"/>
      <c r="AG28" s="532">
        <f>SUM(AG18*G28)</f>
        <v>0</v>
      </c>
      <c r="AH28" s="492">
        <f>SUM(AH18*G28)</f>
        <v>0</v>
      </c>
      <c r="AI28" s="492">
        <f>SUM(AI18*G28)</f>
        <v>0</v>
      </c>
      <c r="AJ28" s="492">
        <f t="shared" si="71"/>
        <v>0</v>
      </c>
      <c r="AK28" s="222"/>
      <c r="AL28" s="532">
        <f t="shared" si="72"/>
        <v>0</v>
      </c>
      <c r="AM28" s="492">
        <f t="shared" si="73"/>
        <v>0</v>
      </c>
      <c r="AN28" s="492">
        <f t="shared" si="74"/>
        <v>0</v>
      </c>
      <c r="AO28" s="492">
        <f t="shared" si="75"/>
        <v>0</v>
      </c>
      <c r="AP28" s="222"/>
      <c r="AQ28" s="532">
        <f>SUM(AQ18*I28)</f>
        <v>0</v>
      </c>
      <c r="AR28" s="492">
        <f>SUM(AR18*I28)</f>
        <v>0</v>
      </c>
      <c r="AS28" s="492">
        <f>SUM(AS18*I28)</f>
        <v>0</v>
      </c>
      <c r="AT28" s="492">
        <f t="shared" si="76"/>
        <v>0</v>
      </c>
      <c r="AU28" s="222"/>
      <c r="AV28" s="617"/>
      <c r="AW28" s="532">
        <f>SUM(AW18*K28)</f>
        <v>0</v>
      </c>
      <c r="AX28" s="492">
        <f>SUM(AX18*K28)</f>
        <v>0</v>
      </c>
      <c r="AY28" s="492">
        <f>SUM(AY18*K28)</f>
        <v>0</v>
      </c>
      <c r="AZ28" s="492">
        <f t="shared" si="77"/>
        <v>0</v>
      </c>
      <c r="BA28" s="222"/>
      <c r="BB28" s="532">
        <f>SUM(BB18*L28)</f>
        <v>0</v>
      </c>
      <c r="BC28" s="492">
        <f>SUM(BC18*L28)</f>
        <v>0</v>
      </c>
      <c r="BD28" s="492">
        <f>SUM(BD18*L28)</f>
        <v>0</v>
      </c>
      <c r="BE28" s="492">
        <f t="shared" si="78"/>
        <v>0</v>
      </c>
      <c r="BF28" s="222"/>
      <c r="BG28" s="532">
        <f>SUM(BG18*M28)</f>
        <v>0</v>
      </c>
      <c r="BH28" s="492">
        <f>SUM(BH18*M28)</f>
        <v>0</v>
      </c>
      <c r="BI28" s="492">
        <f>SUM(BI18*M28)</f>
        <v>0</v>
      </c>
      <c r="BJ28" s="492">
        <f t="shared" si="79"/>
        <v>0</v>
      </c>
      <c r="BK28" s="222"/>
      <c r="BL28" s="532">
        <f>SUM(BL18*N28)</f>
        <v>0</v>
      </c>
      <c r="BM28" s="492">
        <f>SUM(BM18*N28)</f>
        <v>0</v>
      </c>
      <c r="BN28" s="492">
        <f>SUM(BN18*N28)</f>
        <v>0</v>
      </c>
      <c r="BO28" s="492">
        <f t="shared" si="80"/>
        <v>0</v>
      </c>
      <c r="BP28" s="222"/>
      <c r="BQ28" s="221"/>
      <c r="BR28" s="532">
        <f>SUM(BR18*P28)</f>
        <v>0</v>
      </c>
      <c r="BS28" s="492">
        <f>SUM(BS18*P28)</f>
        <v>0</v>
      </c>
      <c r="BT28" s="492">
        <f>SUM(BT18*P28)</f>
        <v>0</v>
      </c>
      <c r="BU28" s="492">
        <f t="shared" si="81"/>
        <v>0</v>
      </c>
      <c r="BV28" s="222"/>
      <c r="BW28" s="532">
        <f>SUM(BW18*Q28)</f>
        <v>0</v>
      </c>
      <c r="BX28" s="492">
        <f>SUM(BX18*Q28)</f>
        <v>0</v>
      </c>
      <c r="BY28" s="492">
        <f>SUM(BY18*Q28)</f>
        <v>0</v>
      </c>
      <c r="BZ28" s="492">
        <f t="shared" si="82"/>
        <v>0</v>
      </c>
      <c r="CA28" s="222"/>
      <c r="CB28" s="532">
        <f>SUM(CB18*R28)</f>
        <v>0</v>
      </c>
      <c r="CC28" s="492">
        <f>SUM(CC18*R28)</f>
        <v>0</v>
      </c>
      <c r="CD28" s="492">
        <f>SUM(CD18*R28)</f>
        <v>0</v>
      </c>
      <c r="CE28" s="492">
        <f t="shared" si="83"/>
        <v>0</v>
      </c>
      <c r="CF28" s="222"/>
      <c r="CG28" s="532">
        <f>SUM(CG18*S28)</f>
        <v>0</v>
      </c>
      <c r="CH28" s="492">
        <f>SUM(CH18*S28)</f>
        <v>0</v>
      </c>
      <c r="CI28" s="492">
        <f>SUM(CI18*S28)</f>
        <v>0</v>
      </c>
      <c r="CJ28" s="492">
        <f t="shared" si="84"/>
        <v>0</v>
      </c>
      <c r="CK28" s="222"/>
      <c r="CL28" s="55"/>
      <c r="CM28" s="55"/>
      <c r="CN28" s="55"/>
      <c r="CO28" s="55"/>
      <c r="CP28" s="55"/>
      <c r="CQ28" s="55"/>
      <c r="CR28" s="55"/>
      <c r="CS28" s="55"/>
      <c r="CT28" s="55"/>
      <c r="CU28" s="55"/>
      <c r="CV28" s="55"/>
      <c r="CW28" s="55"/>
      <c r="CX28" s="55"/>
      <c r="CY28" s="55"/>
      <c r="CZ28" s="55"/>
      <c r="DA28" s="55"/>
      <c r="DB28" s="55"/>
      <c r="DC28" s="55"/>
      <c r="DD28" s="55"/>
      <c r="DE28" s="55"/>
      <c r="DF28" s="55"/>
      <c r="DG28" s="55"/>
      <c r="DH28" s="55"/>
      <c r="DI28" s="55"/>
      <c r="DJ28" s="55"/>
      <c r="DK28" s="55"/>
      <c r="DL28" s="55"/>
      <c r="DM28" s="55"/>
      <c r="DN28" s="55"/>
      <c r="DO28" s="55"/>
      <c r="DP28" s="55"/>
      <c r="DQ28" s="55"/>
      <c r="DR28" s="55"/>
      <c r="DS28" s="55"/>
      <c r="DT28" s="55"/>
      <c r="DU28" s="55"/>
      <c r="DV28" s="55"/>
      <c r="DW28" s="55"/>
      <c r="DX28" s="55"/>
      <c r="DY28" s="55"/>
      <c r="DZ28" s="55"/>
      <c r="EA28" s="55"/>
      <c r="EB28" s="55"/>
      <c r="EC28" s="55"/>
      <c r="ED28" s="55"/>
      <c r="EE28" s="55"/>
      <c r="EF28" s="55"/>
      <c r="EG28" s="55"/>
      <c r="EH28" s="55"/>
      <c r="EI28" s="55"/>
      <c r="EJ28" s="55"/>
      <c r="EK28" s="55"/>
      <c r="EL28" s="55"/>
      <c r="EM28" s="55"/>
      <c r="EN28" s="55"/>
      <c r="EO28" s="55"/>
      <c r="EP28" s="55"/>
      <c r="EQ28" s="55"/>
      <c r="ER28" s="55"/>
      <c r="ES28" s="55"/>
      <c r="ET28" s="55"/>
      <c r="EU28" s="55"/>
      <c r="EV28" s="55"/>
      <c r="EW28" s="55"/>
      <c r="EX28" s="55"/>
      <c r="EY28" s="55"/>
      <c r="EZ28" s="55"/>
      <c r="FA28" s="55"/>
      <c r="FB28" s="55"/>
      <c r="FC28" s="55"/>
      <c r="FD28" s="55"/>
      <c r="FE28" s="55"/>
      <c r="FF28" s="55"/>
      <c r="FG28" s="55"/>
      <c r="FH28" s="55"/>
      <c r="FI28" s="55"/>
      <c r="FJ28" s="55"/>
      <c r="FK28" s="55"/>
      <c r="FL28" s="55"/>
      <c r="FM28" s="55"/>
      <c r="FN28" s="55"/>
      <c r="FO28" s="55"/>
      <c r="FP28" s="55"/>
      <c r="FQ28" s="55"/>
      <c r="FR28" s="55"/>
      <c r="FS28" s="55"/>
      <c r="FT28" s="55"/>
      <c r="FU28" s="55"/>
      <c r="FV28" s="55"/>
      <c r="FW28" s="55"/>
    </row>
    <row r="29" spans="1:179" s="57" customFormat="1" ht="9.75" customHeight="1" x14ac:dyDescent="0.15">
      <c r="A29" s="487" t="s">
        <v>152</v>
      </c>
      <c r="B29" s="672" t="s">
        <v>159</v>
      </c>
      <c r="C29" s="673"/>
      <c r="D29" s="695"/>
      <c r="E29" s="696"/>
      <c r="F29" s="226">
        <v>0</v>
      </c>
      <c r="G29" s="227">
        <v>0</v>
      </c>
      <c r="H29" s="227">
        <v>0</v>
      </c>
      <c r="I29" s="227">
        <v>0</v>
      </c>
      <c r="J29" s="217">
        <f t="shared" si="97"/>
        <v>0</v>
      </c>
      <c r="K29" s="227">
        <v>0</v>
      </c>
      <c r="L29" s="227">
        <v>0</v>
      </c>
      <c r="M29" s="227">
        <v>0</v>
      </c>
      <c r="N29" s="227">
        <v>0</v>
      </c>
      <c r="O29" s="217">
        <f t="shared" si="91"/>
        <v>0</v>
      </c>
      <c r="P29" s="227">
        <v>0</v>
      </c>
      <c r="Q29" s="227">
        <v>0</v>
      </c>
      <c r="R29" s="227">
        <v>0</v>
      </c>
      <c r="S29" s="227">
        <v>0</v>
      </c>
      <c r="T29" s="218">
        <f t="shared" si="96"/>
        <v>0</v>
      </c>
      <c r="U29" s="221"/>
      <c r="V29" s="239">
        <v>0</v>
      </c>
      <c r="W29" s="217">
        <v>0</v>
      </c>
      <c r="X29" s="242">
        <v>0</v>
      </c>
      <c r="Y29" s="221"/>
      <c r="Z29" s="578">
        <v>0</v>
      </c>
      <c r="AA29" s="617"/>
      <c r="AB29" s="532">
        <f>SUM(F29/3)</f>
        <v>0</v>
      </c>
      <c r="AC29" s="492">
        <f>SUM(F29/3)</f>
        <v>0</v>
      </c>
      <c r="AD29" s="492">
        <f>SUM(F29/3)</f>
        <v>0</v>
      </c>
      <c r="AE29" s="492">
        <f t="shared" si="70"/>
        <v>0</v>
      </c>
      <c r="AF29" s="222"/>
      <c r="AG29" s="532">
        <f>SUM(G29/3)</f>
        <v>0</v>
      </c>
      <c r="AH29" s="492">
        <f>SUM(G29/3)</f>
        <v>0</v>
      </c>
      <c r="AI29" s="492">
        <f>SUM(G29/3)</f>
        <v>0</v>
      </c>
      <c r="AJ29" s="492">
        <f t="shared" si="71"/>
        <v>0</v>
      </c>
      <c r="AK29" s="222"/>
      <c r="AL29" s="532">
        <f>SUM(H29/3)</f>
        <v>0</v>
      </c>
      <c r="AM29" s="492">
        <f>SUM(H29/3)</f>
        <v>0</v>
      </c>
      <c r="AN29" s="492">
        <f>SUM(H29/3)</f>
        <v>0</v>
      </c>
      <c r="AO29" s="492">
        <f t="shared" si="75"/>
        <v>0</v>
      </c>
      <c r="AP29" s="222"/>
      <c r="AQ29" s="532">
        <f>SUM(I29/3)</f>
        <v>0</v>
      </c>
      <c r="AR29" s="492">
        <f>SUM(I29/3)</f>
        <v>0</v>
      </c>
      <c r="AS29" s="492">
        <f>SUM(I29/3)</f>
        <v>0</v>
      </c>
      <c r="AT29" s="492">
        <f t="shared" si="76"/>
        <v>0</v>
      </c>
      <c r="AU29" s="222"/>
      <c r="AV29" s="617"/>
      <c r="AW29" s="532">
        <f>SUM(K29/3)</f>
        <v>0</v>
      </c>
      <c r="AX29" s="492">
        <f>SUM(K29/3)</f>
        <v>0</v>
      </c>
      <c r="AY29" s="492">
        <f>SUM(K29/3)</f>
        <v>0</v>
      </c>
      <c r="AZ29" s="492">
        <f t="shared" si="77"/>
        <v>0</v>
      </c>
      <c r="BA29" s="222"/>
      <c r="BB29" s="532">
        <f>SUM(L29/3)</f>
        <v>0</v>
      </c>
      <c r="BC29" s="492">
        <f>SUM(L29/3)</f>
        <v>0</v>
      </c>
      <c r="BD29" s="492">
        <f>SUM(L29/3)</f>
        <v>0</v>
      </c>
      <c r="BE29" s="492">
        <f t="shared" si="78"/>
        <v>0</v>
      </c>
      <c r="BF29" s="222"/>
      <c r="BG29" s="532">
        <f>SUM(M29/3)</f>
        <v>0</v>
      </c>
      <c r="BH29" s="492">
        <f>SUM(M29/3)</f>
        <v>0</v>
      </c>
      <c r="BI29" s="492">
        <f>SUM(M29/3)</f>
        <v>0</v>
      </c>
      <c r="BJ29" s="492">
        <f t="shared" si="79"/>
        <v>0</v>
      </c>
      <c r="BK29" s="222"/>
      <c r="BL29" s="532">
        <f>SUM(N29/3)</f>
        <v>0</v>
      </c>
      <c r="BM29" s="492">
        <f>SUM(N29/3)</f>
        <v>0</v>
      </c>
      <c r="BN29" s="492">
        <f>SUM(N29/3)</f>
        <v>0</v>
      </c>
      <c r="BO29" s="492">
        <f t="shared" si="80"/>
        <v>0</v>
      </c>
      <c r="BP29" s="222"/>
      <c r="BQ29" s="221"/>
      <c r="BR29" s="532">
        <f>SUM(P29/3)</f>
        <v>0</v>
      </c>
      <c r="BS29" s="492">
        <f>SUM(P29/3)</f>
        <v>0</v>
      </c>
      <c r="BT29" s="492">
        <f>SUM(P29/3)</f>
        <v>0</v>
      </c>
      <c r="BU29" s="492">
        <f t="shared" si="81"/>
        <v>0</v>
      </c>
      <c r="BV29" s="222"/>
      <c r="BW29" s="532">
        <f>SUM(Q29/3)</f>
        <v>0</v>
      </c>
      <c r="BX29" s="492">
        <f>SUM(Q29/3)</f>
        <v>0</v>
      </c>
      <c r="BY29" s="492">
        <f>SUM(Q29/3)</f>
        <v>0</v>
      </c>
      <c r="BZ29" s="492">
        <f t="shared" si="82"/>
        <v>0</v>
      </c>
      <c r="CA29" s="222"/>
      <c r="CB29" s="532">
        <f>SUM(R29/3)</f>
        <v>0</v>
      </c>
      <c r="CC29" s="492">
        <f>SUM(R29/3)</f>
        <v>0</v>
      </c>
      <c r="CD29" s="492">
        <f>SUM(R29/3)</f>
        <v>0</v>
      </c>
      <c r="CE29" s="492">
        <f t="shared" si="83"/>
        <v>0</v>
      </c>
      <c r="CF29" s="222"/>
      <c r="CG29" s="532">
        <f>SUM(S29/3)</f>
        <v>0</v>
      </c>
      <c r="CH29" s="492">
        <f>SUM(S29/3)</f>
        <v>0</v>
      </c>
      <c r="CI29" s="492">
        <f>SUM(S29/3)</f>
        <v>0</v>
      </c>
      <c r="CJ29" s="492">
        <f t="shared" si="84"/>
        <v>0</v>
      </c>
      <c r="CK29" s="222"/>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row>
    <row r="30" spans="1:179" s="57" customFormat="1" ht="9.75" customHeight="1" x14ac:dyDescent="0.15">
      <c r="A30" s="422" t="s">
        <v>219</v>
      </c>
      <c r="B30" s="185"/>
      <c r="C30" s="186"/>
      <c r="D30" s="636"/>
      <c r="E30" s="637"/>
      <c r="F30" s="419">
        <f>AE30</f>
        <v>0</v>
      </c>
      <c r="G30" s="420">
        <f>AJ30</f>
        <v>0</v>
      </c>
      <c r="H30" s="420">
        <f>AO30</f>
        <v>13374.565318442659</v>
      </c>
      <c r="I30" s="420">
        <f>AT30</f>
        <v>53135.675125748952</v>
      </c>
      <c r="J30" s="211">
        <f>SUM(F30:I30)</f>
        <v>66510.240444191615</v>
      </c>
      <c r="K30" s="420">
        <f>AZ30</f>
        <v>99415.652394041841</v>
      </c>
      <c r="L30" s="420">
        <f>BE30</f>
        <v>180238.60014851089</v>
      </c>
      <c r="M30" s="420">
        <f>BJ30</f>
        <v>294766.40944624227</v>
      </c>
      <c r="N30" s="420">
        <f>BO30</f>
        <v>468249.28718482063</v>
      </c>
      <c r="O30" s="211">
        <f>SUM(K30:N30)</f>
        <v>1042669.9491736157</v>
      </c>
      <c r="P30" s="420">
        <f>BU30</f>
        <v>741982.74088197562</v>
      </c>
      <c r="Q30" s="420">
        <f>BZ30</f>
        <v>1178615.690495759</v>
      </c>
      <c r="R30" s="420">
        <f>CE30</f>
        <v>1887032.3624787466</v>
      </c>
      <c r="S30" s="420">
        <f>CJ30</f>
        <v>3058281.1140785804</v>
      </c>
      <c r="T30" s="230">
        <f>SUM(P30:S30)</f>
        <v>6865911.9079350615</v>
      </c>
      <c r="U30" s="232"/>
      <c r="V30" s="231">
        <f>SUM(((S18+V18)/2)*(V21+V22+V23+V24+V25+V26+V27+V28))</f>
        <v>26311702.343998369</v>
      </c>
      <c r="W30" s="211">
        <f>SUM(((V18+W18)/2)*(W21+W22+W23+W24+W25+W26+W27+W28))</f>
        <v>89270384.9044303</v>
      </c>
      <c r="X30" s="212">
        <f>SUM(((W18+X18)/2)*(X21+X22+X23+X24+X25+X26+X27+X28))</f>
        <v>230805834.19732502</v>
      </c>
      <c r="Y30" s="232"/>
      <c r="Z30" s="579">
        <v>0</v>
      </c>
      <c r="AA30" s="618"/>
      <c r="AB30" s="535">
        <f>SUM(AB21:AB29)</f>
        <v>0</v>
      </c>
      <c r="AC30" s="420">
        <f>SUM(AC21:AC29)</f>
        <v>0</v>
      </c>
      <c r="AD30" s="420">
        <f>SUM(AD21:AD29)</f>
        <v>0</v>
      </c>
      <c r="AE30" s="211">
        <f>SUM(AB30:AD30)</f>
        <v>0</v>
      </c>
      <c r="AF30" s="212"/>
      <c r="AG30" s="535">
        <f>SUM(AG21:AG29)</f>
        <v>0</v>
      </c>
      <c r="AH30" s="420">
        <f>SUM(AH21:AH29)</f>
        <v>0</v>
      </c>
      <c r="AI30" s="420">
        <f>SUM(AI21:AI29)</f>
        <v>0</v>
      </c>
      <c r="AJ30" s="211">
        <f>SUM(AG30:AI30)</f>
        <v>0</v>
      </c>
      <c r="AK30" s="212"/>
      <c r="AL30" s="535">
        <f>SUM(AL21:AL29)</f>
        <v>2992.289293870017</v>
      </c>
      <c r="AM30" s="420">
        <f>SUM(AM21:AM29)</f>
        <v>4455.851559649268</v>
      </c>
      <c r="AN30" s="420">
        <f>SUM(AN21:AN29)</f>
        <v>5926.4244649233751</v>
      </c>
      <c r="AO30" s="211">
        <f>SUM(AL30:AN30)</f>
        <v>13374.565318442659</v>
      </c>
      <c r="AP30" s="212"/>
      <c r="AQ30" s="535">
        <f>SUM(AQ21:AQ29)</f>
        <v>14918.52056138515</v>
      </c>
      <c r="AR30" s="420">
        <f>SUM(AR21:AR29)</f>
        <v>17730.303266225495</v>
      </c>
      <c r="AS30" s="420">
        <f>SUM(AS21:AS29)</f>
        <v>20486.851298138303</v>
      </c>
      <c r="AT30" s="211">
        <f>SUM(AQ30:AS30)</f>
        <v>53135.675125748952</v>
      </c>
      <c r="AU30" s="212"/>
      <c r="AV30" s="618"/>
      <c r="AW30" s="535">
        <f>SUM(AW21:AW29)</f>
        <v>29909.079444761352</v>
      </c>
      <c r="AX30" s="420">
        <f>SUM(AX21:AX29)</f>
        <v>33174.49430587692</v>
      </c>
      <c r="AY30" s="420">
        <f>SUM(AY21:AY29)</f>
        <v>36332.078643403569</v>
      </c>
      <c r="AZ30" s="211">
        <f>SUM(AW30:AY30)</f>
        <v>99415.652394041841</v>
      </c>
      <c r="BA30" s="212"/>
      <c r="BB30" s="535">
        <f>SUM(BB21:BB29)</f>
        <v>54747.151147156612</v>
      </c>
      <c r="BC30" s="420">
        <f>SUM(BC21:BC29)</f>
        <v>60129.820312983873</v>
      </c>
      <c r="BD30" s="420">
        <f>SUM(BD21:BD29)</f>
        <v>65361.628688370394</v>
      </c>
      <c r="BE30" s="211">
        <f>SUM(BB30:BD30)</f>
        <v>180238.60014851089</v>
      </c>
      <c r="BF30" s="212"/>
      <c r="BG30" s="535">
        <f>SUM(BG21:BG29)</f>
        <v>90461.514243228012</v>
      </c>
      <c r="BH30" s="420">
        <f>SUM(BH21:BH29)</f>
        <v>98305.23374912703</v>
      </c>
      <c r="BI30" s="420">
        <f>SUM(BI21:BI29)</f>
        <v>105999.66145388722</v>
      </c>
      <c r="BJ30" s="211">
        <f>SUM(BG30:BI30)</f>
        <v>294766.40944624227</v>
      </c>
      <c r="BK30" s="212"/>
      <c r="BL30" s="535">
        <f>SUM(BL21:BL29)</f>
        <v>142128.35922283659</v>
      </c>
      <c r="BM30" s="420">
        <f>SUM(BM21:BM29)</f>
        <v>156129.95093075439</v>
      </c>
      <c r="BN30" s="420">
        <f>SUM(BN21:BN29)</f>
        <v>169990.97703122968</v>
      </c>
      <c r="BO30" s="211">
        <f>SUM(BL30:BN30)</f>
        <v>468249.28718482063</v>
      </c>
      <c r="BP30" s="212"/>
      <c r="BQ30" s="232"/>
      <c r="BR30" s="535">
        <f>SUM(BR21:BR29)</f>
        <v>223276.54461761238</v>
      </c>
      <c r="BS30" s="420">
        <f>SUM(BS21:BS29)</f>
        <v>247335.98065786684</v>
      </c>
      <c r="BT30" s="420">
        <f>SUM(BT21:BT29)</f>
        <v>271370.21560649644</v>
      </c>
      <c r="BU30" s="211">
        <f>SUM(BR30:BT30)</f>
        <v>741982.74088197562</v>
      </c>
      <c r="BV30" s="212"/>
      <c r="BW30" s="535">
        <f>SUM(BW21:BW29)</f>
        <v>351796.44881961425</v>
      </c>
      <c r="BX30" s="420">
        <f>SUM(BX21:BX29)</f>
        <v>392763.44697670848</v>
      </c>
      <c r="BY30" s="420">
        <f>SUM(BY21:BY29)</f>
        <v>434055.79469943634</v>
      </c>
      <c r="BZ30" s="211">
        <f>SUM(BW30:BY30)</f>
        <v>1178615.690495759</v>
      </c>
      <c r="CA30" s="212"/>
      <c r="CB30" s="535">
        <f>SUM(CB21:CB29)</f>
        <v>558499.76900955406</v>
      </c>
      <c r="CC30" s="420">
        <f>SUM(CC21:CC29)</f>
        <v>628615.15773407498</v>
      </c>
      <c r="CD30" s="420">
        <f>SUM(CD21:CD29)</f>
        <v>699917.43573511753</v>
      </c>
      <c r="CE30" s="211">
        <f>SUM(CB30:CD30)</f>
        <v>1887032.3624787466</v>
      </c>
      <c r="CF30" s="212"/>
      <c r="CG30" s="535">
        <f>SUM(CG21:CG29)</f>
        <v>897291.72214252769</v>
      </c>
      <c r="CH30" s="420">
        <f>SUM(CH21:CH29)</f>
        <v>1018381.2554388675</v>
      </c>
      <c r="CI30" s="420">
        <f>SUM(CI21:CI29)</f>
        <v>1142608.1364971853</v>
      </c>
      <c r="CJ30" s="233">
        <f>SUM(CG30:CI30)</f>
        <v>3058281.1140785804</v>
      </c>
      <c r="CK30" s="212"/>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row>
    <row r="31" spans="1:179" s="55" customFormat="1" ht="4.5" customHeight="1" x14ac:dyDescent="0.15">
      <c r="A31" s="189"/>
      <c r="B31" s="190"/>
      <c r="C31" s="191"/>
      <c r="D31" s="192"/>
      <c r="E31" s="193"/>
      <c r="F31" s="234"/>
      <c r="G31" s="196"/>
      <c r="H31" s="196"/>
      <c r="I31" s="196"/>
      <c r="J31" s="196"/>
      <c r="K31" s="196"/>
      <c r="L31" s="196"/>
      <c r="M31" s="196"/>
      <c r="N31" s="196"/>
      <c r="O31" s="196"/>
      <c r="P31" s="196"/>
      <c r="Q31" s="196"/>
      <c r="R31" s="196"/>
      <c r="S31" s="196"/>
      <c r="T31" s="197"/>
      <c r="U31" s="235"/>
      <c r="V31" s="192"/>
      <c r="W31" s="196"/>
      <c r="X31" s="193"/>
      <c r="Y31" s="235"/>
      <c r="Z31" s="580"/>
      <c r="AA31" s="189"/>
      <c r="AB31" s="192"/>
      <c r="AC31" s="196"/>
      <c r="AD31" s="196"/>
      <c r="AE31" s="196"/>
      <c r="AF31" s="193"/>
      <c r="AG31" s="192"/>
      <c r="AH31" s="196"/>
      <c r="AI31" s="196"/>
      <c r="AJ31" s="196"/>
      <c r="AK31" s="193"/>
      <c r="AL31" s="192"/>
      <c r="AM31" s="196"/>
      <c r="AN31" s="196"/>
      <c r="AO31" s="196"/>
      <c r="AP31" s="193"/>
      <c r="AQ31" s="192"/>
      <c r="AR31" s="196"/>
      <c r="AS31" s="196"/>
      <c r="AT31" s="196"/>
      <c r="AU31" s="193"/>
      <c r="AV31" s="189"/>
      <c r="AW31" s="192"/>
      <c r="AX31" s="196"/>
      <c r="AY31" s="196"/>
      <c r="AZ31" s="196"/>
      <c r="BA31" s="193"/>
      <c r="BB31" s="192"/>
      <c r="BC31" s="196"/>
      <c r="BD31" s="196"/>
      <c r="BE31" s="196"/>
      <c r="BF31" s="193"/>
      <c r="BG31" s="192"/>
      <c r="BH31" s="196"/>
      <c r="BI31" s="196"/>
      <c r="BJ31" s="196"/>
      <c r="BK31" s="193"/>
      <c r="BL31" s="192"/>
      <c r="BM31" s="196"/>
      <c r="BN31" s="196"/>
      <c r="BO31" s="196"/>
      <c r="BP31" s="193"/>
      <c r="BQ31" s="235"/>
      <c r="BR31" s="192"/>
      <c r="BS31" s="196"/>
      <c r="BT31" s="196"/>
      <c r="BU31" s="196"/>
      <c r="BV31" s="193"/>
      <c r="BW31" s="192"/>
      <c r="BX31" s="196"/>
      <c r="BY31" s="196"/>
      <c r="BZ31" s="196"/>
      <c r="CA31" s="193"/>
      <c r="CB31" s="192"/>
      <c r="CC31" s="196"/>
      <c r="CD31" s="196"/>
      <c r="CE31" s="196"/>
      <c r="CF31" s="193"/>
      <c r="CG31" s="192"/>
      <c r="CH31" s="196"/>
      <c r="CI31" s="196"/>
      <c r="CJ31" s="196"/>
      <c r="CK31" s="193"/>
    </row>
    <row r="32" spans="1:179" s="57" customFormat="1" ht="9.75" customHeight="1" x14ac:dyDescent="0.15">
      <c r="A32" s="486" t="s">
        <v>220</v>
      </c>
      <c r="B32" s="125"/>
      <c r="C32" s="202"/>
      <c r="D32" s="630"/>
      <c r="E32" s="631"/>
      <c r="F32" s="489"/>
      <c r="G32" s="490"/>
      <c r="H32" s="490"/>
      <c r="I32" s="490"/>
      <c r="J32" s="210"/>
      <c r="K32" s="490"/>
      <c r="L32" s="490"/>
      <c r="M32" s="490"/>
      <c r="N32" s="490"/>
      <c r="O32" s="210"/>
      <c r="P32" s="490"/>
      <c r="Q32" s="490"/>
      <c r="R32" s="490"/>
      <c r="S32" s="490"/>
      <c r="T32" s="236"/>
      <c r="U32" s="232"/>
      <c r="V32" s="237"/>
      <c r="W32" s="210"/>
      <c r="X32" s="238"/>
      <c r="Y32" s="232"/>
      <c r="Z32" s="577"/>
      <c r="AA32" s="618"/>
      <c r="AB32" s="594"/>
      <c r="AC32" s="490"/>
      <c r="AD32" s="490"/>
      <c r="AE32" s="490"/>
      <c r="AF32" s="212"/>
      <c r="AG32" s="594"/>
      <c r="AH32" s="490"/>
      <c r="AI32" s="490"/>
      <c r="AJ32" s="490"/>
      <c r="AK32" s="212"/>
      <c r="AL32" s="594"/>
      <c r="AM32" s="490"/>
      <c r="AN32" s="490"/>
      <c r="AO32" s="490"/>
      <c r="AP32" s="212"/>
      <c r="AQ32" s="594"/>
      <c r="AR32" s="490"/>
      <c r="AS32" s="490"/>
      <c r="AT32" s="490"/>
      <c r="AU32" s="212"/>
      <c r="AV32" s="618"/>
      <c r="AW32" s="594"/>
      <c r="AX32" s="490"/>
      <c r="AY32" s="490"/>
      <c r="AZ32" s="490"/>
      <c r="BA32" s="212"/>
      <c r="BB32" s="594"/>
      <c r="BC32" s="490"/>
      <c r="BD32" s="490"/>
      <c r="BE32" s="490"/>
      <c r="BF32" s="212"/>
      <c r="BG32" s="594"/>
      <c r="BH32" s="490"/>
      <c r="BI32" s="490"/>
      <c r="BJ32" s="490"/>
      <c r="BK32" s="212"/>
      <c r="BL32" s="594"/>
      <c r="BM32" s="490"/>
      <c r="BN32" s="490"/>
      <c r="BO32" s="490"/>
      <c r="BP32" s="212"/>
      <c r="BQ32" s="232"/>
      <c r="BR32" s="594"/>
      <c r="BS32" s="490"/>
      <c r="BT32" s="490"/>
      <c r="BU32" s="490"/>
      <c r="BV32" s="212"/>
      <c r="BW32" s="594"/>
      <c r="BX32" s="490"/>
      <c r="BY32" s="490"/>
      <c r="BZ32" s="490"/>
      <c r="CA32" s="212"/>
      <c r="CB32" s="594"/>
      <c r="CC32" s="490"/>
      <c r="CD32" s="490"/>
      <c r="CE32" s="490"/>
      <c r="CF32" s="212"/>
      <c r="CG32" s="594"/>
      <c r="CH32" s="490"/>
      <c r="CI32" s="490"/>
      <c r="CJ32" s="490"/>
      <c r="CK32" s="212"/>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row>
    <row r="33" spans="1:179" s="57" customFormat="1" ht="9.75" customHeight="1" x14ac:dyDescent="0.15">
      <c r="A33" s="488" t="s">
        <v>153</v>
      </c>
      <c r="B33" s="239">
        <v>0</v>
      </c>
      <c r="C33" s="285">
        <v>0.06</v>
      </c>
      <c r="D33" s="228"/>
      <c r="E33" s="624"/>
      <c r="F33" s="491">
        <f>SUM((IF(ISBLANK(D33),B33,D33))+(F34*(IF(ISBLANK(E33),C33,E33))))</f>
        <v>1200</v>
      </c>
      <c r="G33" s="492">
        <f>SUM((IF(ISBLANK(D33),B33,D33))+(G34*(IF(ISBLANK(E33),C33,E33))))</f>
        <v>1200</v>
      </c>
      <c r="H33" s="492">
        <f>SUM((IF(ISBLANK(D33),B33,D33))+(H34*(IF(ISBLANK(E33),C33,E33))))</f>
        <v>1226.7491306368852</v>
      </c>
      <c r="I33" s="492">
        <f>SUM((IF(ISBLANK(D33),B33,D33))+(I34*(IF(ISBLANK(E33),C33,E33))))</f>
        <v>1327.7069133758084</v>
      </c>
      <c r="J33" s="217">
        <f>SUM(AE33+AJ33+AO33+AT33)</f>
        <v>14863.368132038082</v>
      </c>
      <c r="K33" s="492">
        <f>SUM((IF(ISBLANK(D33),B33,D33))+(K34*(IF(ISBLANK(E33),C33,E33))))</f>
        <v>1506.6550876850836</v>
      </c>
      <c r="L33" s="492">
        <f>SUM((IF(ISBLANK(D33),B33,D33))+(L34*(IF(ISBLANK(E33),C33,E33))))</f>
        <v>1813.060707937552</v>
      </c>
      <c r="M33" s="492">
        <f>SUM((IF(ISBLANK(D33),B33,D33))+(M34*(IF(ISBLANK(E33),C33,E33))))</f>
        <v>2284.6869630515398</v>
      </c>
      <c r="N33" s="492">
        <f>SUM((IF(ISBLANK(D33),B33,D33))+(N34*(IF(ISBLANK(E33),C33,E33))))</f>
        <v>2987.0608938287705</v>
      </c>
      <c r="O33" s="217">
        <f>SUM(AZ33+BE33+BJ33+BO33)</f>
        <v>25774.390957508836</v>
      </c>
      <c r="P33" s="492">
        <f>SUM((IF(ISBLANK(D33),B33,D33))+(P34*(IF(ISBLANK(E33),C33,E33))))</f>
        <v>4025.8367310635367</v>
      </c>
      <c r="Q33" s="492">
        <f>SUM((IF(ISBLANK(D33),B33,D33))+(Q34*(IF(ISBLANK(E33),C33,E33))))</f>
        <v>5558.0371287080234</v>
      </c>
      <c r="R33" s="492">
        <f>SUM((IF(ISBLANK(D33),B33,D33))+(R34*(IF(ISBLANK(E33),C33,E33))))</f>
        <v>7822.4759636825193</v>
      </c>
      <c r="S33" s="492">
        <f>SUM((IF(ISBLANK(D33),B33,D33))+(S34*(IF(ISBLANK(E33),C33,E33))))</f>
        <v>11186.585189168956</v>
      </c>
      <c r="T33" s="218">
        <f>SUM(BU33+BZ33+CE33+CJ33)</f>
        <v>85778.805037869111</v>
      </c>
      <c r="U33" s="221"/>
      <c r="V33" s="239">
        <f>SUM((IF(ISBLANK(D33),B33,D33))+(V34*(IF(ISBLANK(E33),C33,E33))))</f>
        <v>449979.45039800787</v>
      </c>
      <c r="W33" s="217">
        <f>SUM((IF(ISBLANK(D33),B33,D33))+(W34*(IF(ISBLANK(E33),C33,E33))))</f>
        <v>691009.48963996966</v>
      </c>
      <c r="X33" s="242">
        <f>SUM((IF(ISBLANK(D33),B33,D33))+(X34*(IF(ISBLANK(E33),C33,E33))))</f>
        <v>1244943.4917135497</v>
      </c>
      <c r="Y33" s="221"/>
      <c r="Z33" s="578">
        <f>SUM(11102+10095+8000)</f>
        <v>29197</v>
      </c>
      <c r="AA33" s="617"/>
      <c r="AB33" s="532">
        <f>F33</f>
        <v>1200</v>
      </c>
      <c r="AC33" s="492">
        <f>F33</f>
        <v>1200</v>
      </c>
      <c r="AD33" s="492">
        <f>F33</f>
        <v>1200</v>
      </c>
      <c r="AE33" s="492">
        <f t="shared" ref="AE33:AE43" si="98">SUM(AB33:AD33)</f>
        <v>3600</v>
      </c>
      <c r="AF33" s="222"/>
      <c r="AG33" s="532">
        <f>G33</f>
        <v>1200</v>
      </c>
      <c r="AH33" s="492">
        <f>G33</f>
        <v>1200</v>
      </c>
      <c r="AI33" s="492">
        <f>G33</f>
        <v>1200</v>
      </c>
      <c r="AJ33" s="492">
        <f t="shared" ref="AJ33:AJ46" si="99">SUM(AG33:AI33)</f>
        <v>3600</v>
      </c>
      <c r="AK33" s="222"/>
      <c r="AL33" s="532">
        <f>H33</f>
        <v>1226.7491306368852</v>
      </c>
      <c r="AM33" s="492">
        <f>H33</f>
        <v>1226.7491306368852</v>
      </c>
      <c r="AN33" s="492">
        <f>H33</f>
        <v>1226.7491306368852</v>
      </c>
      <c r="AO33" s="492">
        <f t="shared" ref="AO33:AO43" si="100">SUM(AL33:AN33)</f>
        <v>3680.2473919106556</v>
      </c>
      <c r="AP33" s="222"/>
      <c r="AQ33" s="532">
        <f>I33</f>
        <v>1327.7069133758084</v>
      </c>
      <c r="AR33" s="492">
        <f>I33</f>
        <v>1327.7069133758084</v>
      </c>
      <c r="AS33" s="492">
        <f>I33</f>
        <v>1327.7069133758084</v>
      </c>
      <c r="AT33" s="492">
        <f t="shared" ref="AT33:AT43" si="101">SUM(AQ33:AS33)</f>
        <v>3983.1207401274251</v>
      </c>
      <c r="AU33" s="222"/>
      <c r="AV33" s="617"/>
      <c r="AW33" s="532">
        <f>K33</f>
        <v>1506.6550876850836</v>
      </c>
      <c r="AX33" s="492">
        <f>K33</f>
        <v>1506.6550876850836</v>
      </c>
      <c r="AY33" s="492">
        <f>K33</f>
        <v>1506.6550876850836</v>
      </c>
      <c r="AZ33" s="492">
        <f t="shared" ref="AZ33:AZ43" si="102">SUM(AW33:AY33)</f>
        <v>4519.9652630552509</v>
      </c>
      <c r="BA33" s="222"/>
      <c r="BB33" s="532">
        <f>L33</f>
        <v>1813.060707937552</v>
      </c>
      <c r="BC33" s="492">
        <f>L33</f>
        <v>1813.060707937552</v>
      </c>
      <c r="BD33" s="492">
        <f>L33</f>
        <v>1813.060707937552</v>
      </c>
      <c r="BE33" s="492">
        <f t="shared" ref="BE33:BE43" si="103">SUM(BB33:BD33)</f>
        <v>5439.1821238126558</v>
      </c>
      <c r="BF33" s="222"/>
      <c r="BG33" s="532">
        <f>M33</f>
        <v>2284.6869630515398</v>
      </c>
      <c r="BH33" s="492">
        <f>M33</f>
        <v>2284.6869630515398</v>
      </c>
      <c r="BI33" s="492">
        <f>M33</f>
        <v>2284.6869630515398</v>
      </c>
      <c r="BJ33" s="492">
        <f t="shared" ref="BJ33:BJ43" si="104">SUM(BG33:BI33)</f>
        <v>6854.0608891546199</v>
      </c>
      <c r="BK33" s="222"/>
      <c r="BL33" s="532">
        <f>N33</f>
        <v>2987.0608938287705</v>
      </c>
      <c r="BM33" s="492">
        <f>N33</f>
        <v>2987.0608938287705</v>
      </c>
      <c r="BN33" s="492">
        <f>N33</f>
        <v>2987.0608938287705</v>
      </c>
      <c r="BO33" s="492">
        <f t="shared" ref="BO33:BO43" si="105">SUM(BL33:BN33)</f>
        <v>8961.1826814863125</v>
      </c>
      <c r="BP33" s="222"/>
      <c r="BQ33" s="221"/>
      <c r="BR33" s="532">
        <f>P33</f>
        <v>4025.8367310635367</v>
      </c>
      <c r="BS33" s="492">
        <f>P33</f>
        <v>4025.8367310635367</v>
      </c>
      <c r="BT33" s="492">
        <f>P33</f>
        <v>4025.8367310635367</v>
      </c>
      <c r="BU33" s="492">
        <f t="shared" ref="BU33:BU43" si="106">SUM(BR33:BT33)</f>
        <v>12077.51019319061</v>
      </c>
      <c r="BV33" s="222"/>
      <c r="BW33" s="532">
        <f>Q33</f>
        <v>5558.0371287080234</v>
      </c>
      <c r="BX33" s="492">
        <f>Q33</f>
        <v>5558.0371287080234</v>
      </c>
      <c r="BY33" s="492">
        <f>Q33</f>
        <v>5558.0371287080234</v>
      </c>
      <c r="BZ33" s="492">
        <f t="shared" ref="BZ33:BZ43" si="107">SUM(BW33:BY33)</f>
        <v>16674.11138612407</v>
      </c>
      <c r="CA33" s="222"/>
      <c r="CB33" s="532">
        <f>R33</f>
        <v>7822.4759636825193</v>
      </c>
      <c r="CC33" s="492">
        <f>R33</f>
        <v>7822.4759636825193</v>
      </c>
      <c r="CD33" s="492">
        <f>R33</f>
        <v>7822.4759636825193</v>
      </c>
      <c r="CE33" s="492">
        <f t="shared" ref="CE33:CE43" si="108">SUM(CB33:CD33)</f>
        <v>23467.427891047559</v>
      </c>
      <c r="CF33" s="222"/>
      <c r="CG33" s="532">
        <f>S33</f>
        <v>11186.585189168956</v>
      </c>
      <c r="CH33" s="492">
        <f>S33</f>
        <v>11186.585189168956</v>
      </c>
      <c r="CI33" s="492">
        <f>S33</f>
        <v>11186.585189168956</v>
      </c>
      <c r="CJ33" s="492">
        <f t="shared" ref="CJ33:CJ43" si="109">SUM(CG33:CI33)</f>
        <v>33559.755567506872</v>
      </c>
      <c r="CK33" s="222"/>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row>
    <row r="34" spans="1:179" s="57" customFormat="1" ht="9.75" customHeight="1" x14ac:dyDescent="0.15">
      <c r="A34" s="488" t="s">
        <v>154</v>
      </c>
      <c r="B34" s="145">
        <v>0.1</v>
      </c>
      <c r="C34" s="126">
        <v>-5.0000000000000001E-3</v>
      </c>
      <c r="D34" s="291"/>
      <c r="E34" s="624"/>
      <c r="F34" s="226">
        <v>20000</v>
      </c>
      <c r="G34" s="227">
        <v>20000</v>
      </c>
      <c r="H34" s="492">
        <f>SUM((IF(ISBLANK(D34),B34,D34)*(H30/3))+(G34))</f>
        <v>20445.818843948087</v>
      </c>
      <c r="I34" s="492">
        <f>SUM(IF(ISBLANK(D34),      (IF((1*(IF(ISBLANK(E34),C34,E34)) + B34) &lt; 0,     0,     (1*(IF(ISBLANK(E34),C34,E34)) + B34)   )),       (IF((1*(IF(ISBLANK(E34),C34,E34)) + D34) &lt; 0,     0,     (1*(IF(ISBLANK(E34),C34,E34)) + D34)   ))  )       *   (I30/3)+(H34))</f>
        <v>22128.448556263473</v>
      </c>
      <c r="J34" s="217">
        <f t="shared" ref="J34:J45" si="110">SUM(AE34+AJ34+AO34+AT34)</f>
        <v>247722.8022006347</v>
      </c>
      <c r="K34" s="492">
        <f>SUM(IF(ISBLANK(D34),      (IF((2*(IF(ISBLANK(E34),C34,E34)) + B34) &lt; 0,     0,     (2*(IF(ISBLANK(E34),C34,E34)) + B34)   )),       (IF((2*(IF(ISBLANK(E34),C34,E34)) + D34) &lt; 0,     0,     (2*(IF(ISBLANK(E34),C34,E34)) + D34)   ))  )       *   (K30/3)+(I34))</f>
        <v>25110.918128084726</v>
      </c>
      <c r="L34" s="492">
        <f>SUM(IF(ISBLANK(D34),      (IF((3*(IF(ISBLANK(E34),C34,E34)) + B34) &lt; 0,     0,     (3*(IF(ISBLANK(E34),C34,E34)) + B34)   )),       (IF((3*(IF(ISBLANK(E34),C34,E34)) + D34) &lt; 0,     0,     (3*(IF(ISBLANK(E34),C34,E34)) + D34)   ))  )       *   (L30/3)+(K34))</f>
        <v>30217.678465625868</v>
      </c>
      <c r="M34" s="492">
        <f>SUM(IF(ISBLANK(D34),      (IF((4*(IF(ISBLANK(E34),C34,E34)) + B34) &lt; 0,     0,     (4*(IF(ISBLANK(E34),C34,E34)) + B34)   )),       (IF((4*(IF(ISBLANK(E34),C34,E34)) + D34) &lt; 0,     0,     (4*(IF(ISBLANK(E34),C34,E34)) + D34)   ))  )       *   (M30/3)+(L34))</f>
        <v>38078.116050858996</v>
      </c>
      <c r="N34" s="492">
        <f>SUM(IF(ISBLANK(D34),      (IF((5*(IF(ISBLANK(E34),C34,E34)) + B34) &lt; 0,     0,     (5*(IF(ISBLANK(E34),C34,E34)) + B34)   )),       (IF((5*(IF(ISBLANK(E34),C34,E34)) + D34) &lt; 0,     0,     (5*(IF(ISBLANK(E34),C34,E34)) + D34)   ))  )       *   (N30/3)+(M34))</f>
        <v>49784.348230479511</v>
      </c>
      <c r="O34" s="217">
        <f t="shared" ref="O34:O45" si="111">SUM(AZ34+BE34+BJ34+BO34)</f>
        <v>429573.18262514728</v>
      </c>
      <c r="P34" s="492">
        <f>SUM(IF(ISBLANK(D34),      (IF((6*(IF(ISBLANK(E34),C34,E34)) + B34) &lt; 0,     0,     (6*(IF(ISBLANK(E34),C34,E34)) + B34)   )),       (IF((6*(IF(ISBLANK(E34),C34,E34)) + D34) &lt; 0,     0,     (6*(IF(ISBLANK(E34),C34,E34)) + D34)   ))  )       *   (P30/3)+(N34))</f>
        <v>67097.278851058945</v>
      </c>
      <c r="Q34" s="492">
        <f>SUM(IF(ISBLANK(D34),      (IF((7*(IF(ISBLANK(E34),C34,E34)) + B34) &lt; 0,     0,     (7*(IF(ISBLANK(E34),C34,E34)) + B34)   )),       (IF((7*(IF(ISBLANK(E34),C34,E34)) + D34) &lt; 0,     0,     (7*(IF(ISBLANK(E34),C34,E34)) + D34)   ))  )       *   (Q30/3)+(P34))</f>
        <v>92633.95214513372</v>
      </c>
      <c r="R34" s="492">
        <f>SUM(IF(ISBLANK(D34),      (IF((8*(IF(ISBLANK(E34),C34,E34)) + B34) &lt; 0,     0,     (8*(IF(ISBLANK(E34),C34,E34)) + B34)   )),       (IF((8*(IF(ISBLANK(E34),C34,E34)) + D34) &lt; 0,     0,     (8*(IF(ISBLANK(E34),C34,E34)) + D34)   ))  )       *   (R30/3)+(Q34))</f>
        <v>130374.59939470865</v>
      </c>
      <c r="S34" s="492">
        <f>SUM(IF(ISBLANK(D34),      (IF((9*(IF(ISBLANK(E34),C34,E34)) + B34) &lt; 0,     0,     (9*(IF(ISBLANK(E34),C34,E34)) + B34)   )),       (IF((9*(IF(ISBLANK(E34),C34,E34)) + D34) &lt; 0,     0,     (9*(IF(ISBLANK(E34),C34,E34)) + D34)   ))  )       *   (S30/3)+(R34))</f>
        <v>186443.08648614929</v>
      </c>
      <c r="T34" s="218">
        <f t="shared" ref="T34:T45" si="112">SUM(BU34+BZ34+CE34+CJ34)</f>
        <v>1429646.7506311517</v>
      </c>
      <c r="U34" s="221"/>
      <c r="V34" s="239">
        <f>SUM(IF(ISBLANK(D34),      (IF((10*(IF(ISBLANK(E34),C34,E34)) + B34) &lt; 0,     0,     (10*(IF(ISBLANK(E34),C34,E34)) + B34)   )),       (IF((10*(IF(ISBLANK(E34),C34,E34)) + D34) &lt; 0,     0,     (10*(IF(ISBLANK(E34),C34,E34)) + D34)   ))  )       *   (V30/3)+(S34))*12</f>
        <v>7499657.5066334652</v>
      </c>
      <c r="W34" s="217">
        <f>SUM(IF(ISBLANK(D34),      (IF((11*(IF(ISBLANK(E34),C34,E34)) + B34) &lt; 0,     0,     (11*(IF(ISBLANK(E34),C34,E34)) + B34)   )),       (IF((11*(IF(ISBLANK(E34),C34,E34)) + D34) &lt; 0,     0,     (11*(IF(ISBLANK(E34),C34,E34)) + D34)   ))  )       *   (W30/12)+(V34/12))*12</f>
        <v>11516824.827332828</v>
      </c>
      <c r="X34" s="242">
        <f>SUM(IF(ISBLANK(D34),      (IF((12*(IF(ISBLANK(E34),C34,E34)) + B34) &lt; 0,     0,     (12*(IF(ISBLANK(E34),C34,E34)) + B34)   )),       (IF((12*(IF(ISBLANK(E34),C34,E34)) + D34) &lt; 0,     0,     (12*(IF(ISBLANK(E34),C34,E34)) + D34)   ))  )       *   (X30/12)+(W34/12))*12</f>
        <v>20749058.195225831</v>
      </c>
      <c r="Y34" s="221"/>
      <c r="Z34" s="578">
        <f>SUM(30664+342396+71683+36198+34170+34090+28752+50203+25449+25629+23773+25295+25295+20000)</f>
        <v>773597</v>
      </c>
      <c r="AA34" s="617"/>
      <c r="AB34" s="532">
        <f t="shared" ref="AB34:AB46" si="113">F34</f>
        <v>20000</v>
      </c>
      <c r="AC34" s="492">
        <f t="shared" ref="AC34:AC46" si="114">F34</f>
        <v>20000</v>
      </c>
      <c r="AD34" s="492">
        <f t="shared" ref="AD34:AD46" si="115">F34</f>
        <v>20000</v>
      </c>
      <c r="AE34" s="492">
        <f t="shared" si="98"/>
        <v>60000</v>
      </c>
      <c r="AF34" s="222"/>
      <c r="AG34" s="532">
        <f t="shared" ref="AG34:AG46" si="116">G34</f>
        <v>20000</v>
      </c>
      <c r="AH34" s="492">
        <f t="shared" ref="AH34:AH46" si="117">G34</f>
        <v>20000</v>
      </c>
      <c r="AI34" s="492">
        <f t="shared" ref="AI34:AI46" si="118">G34</f>
        <v>20000</v>
      </c>
      <c r="AJ34" s="492">
        <f t="shared" si="99"/>
        <v>60000</v>
      </c>
      <c r="AK34" s="222"/>
      <c r="AL34" s="532">
        <f t="shared" ref="AL34:AL46" si="119">H34</f>
        <v>20445.818843948087</v>
      </c>
      <c r="AM34" s="492">
        <f t="shared" ref="AM34:AM46" si="120">H34</f>
        <v>20445.818843948087</v>
      </c>
      <c r="AN34" s="492">
        <f t="shared" ref="AN34:AN46" si="121">H34</f>
        <v>20445.818843948087</v>
      </c>
      <c r="AO34" s="492">
        <f t="shared" si="100"/>
        <v>61337.456531844262</v>
      </c>
      <c r="AP34" s="222"/>
      <c r="AQ34" s="532">
        <f t="shared" ref="AQ34:AQ46" si="122">I34</f>
        <v>22128.448556263473</v>
      </c>
      <c r="AR34" s="492">
        <f t="shared" ref="AR34:AR46" si="123">I34</f>
        <v>22128.448556263473</v>
      </c>
      <c r="AS34" s="492">
        <f t="shared" ref="AS34:AS46" si="124">I34</f>
        <v>22128.448556263473</v>
      </c>
      <c r="AT34" s="492">
        <f t="shared" si="101"/>
        <v>66385.345668790425</v>
      </c>
      <c r="AU34" s="222"/>
      <c r="AV34" s="617"/>
      <c r="AW34" s="532">
        <f t="shared" ref="AW34:AW46" si="125">K34</f>
        <v>25110.918128084726</v>
      </c>
      <c r="AX34" s="492">
        <f t="shared" ref="AX34:AX46" si="126">K34</f>
        <v>25110.918128084726</v>
      </c>
      <c r="AY34" s="492">
        <f t="shared" ref="AY34:AY46" si="127">K34</f>
        <v>25110.918128084726</v>
      </c>
      <c r="AZ34" s="492">
        <f t="shared" si="102"/>
        <v>75332.754384254178</v>
      </c>
      <c r="BA34" s="222"/>
      <c r="BB34" s="532">
        <f t="shared" ref="BB34:BB46" si="128">L34</f>
        <v>30217.678465625868</v>
      </c>
      <c r="BC34" s="492">
        <f t="shared" ref="BC34:BC46" si="129">L34</f>
        <v>30217.678465625868</v>
      </c>
      <c r="BD34" s="492">
        <f t="shared" ref="BD34:BD46" si="130">L34</f>
        <v>30217.678465625868</v>
      </c>
      <c r="BE34" s="492">
        <f t="shared" si="103"/>
        <v>90653.035396877603</v>
      </c>
      <c r="BF34" s="222"/>
      <c r="BG34" s="532">
        <f t="shared" ref="BG34:BG46" si="131">M34</f>
        <v>38078.116050858996</v>
      </c>
      <c r="BH34" s="492">
        <f t="shared" ref="BH34:BH46" si="132">M34</f>
        <v>38078.116050858996</v>
      </c>
      <c r="BI34" s="492">
        <f t="shared" ref="BI34:BI46" si="133">M34</f>
        <v>38078.116050858996</v>
      </c>
      <c r="BJ34" s="492">
        <f t="shared" si="104"/>
        <v>114234.34815257699</v>
      </c>
      <c r="BK34" s="222"/>
      <c r="BL34" s="532">
        <f t="shared" ref="BL34:BL46" si="134">N34</f>
        <v>49784.348230479511</v>
      </c>
      <c r="BM34" s="492">
        <f t="shared" ref="BM34:BM46" si="135">N34</f>
        <v>49784.348230479511</v>
      </c>
      <c r="BN34" s="492">
        <f t="shared" ref="BN34:BN46" si="136">N34</f>
        <v>49784.348230479511</v>
      </c>
      <c r="BO34" s="492">
        <f t="shared" si="105"/>
        <v>149353.04469143852</v>
      </c>
      <c r="BP34" s="222"/>
      <c r="BQ34" s="221"/>
      <c r="BR34" s="532">
        <f t="shared" ref="BR34:BR46" si="137">P34</f>
        <v>67097.278851058945</v>
      </c>
      <c r="BS34" s="492">
        <f t="shared" ref="BS34:BS43" si="138">P34</f>
        <v>67097.278851058945</v>
      </c>
      <c r="BT34" s="492">
        <f t="shared" ref="BT34:BT46" si="139">P34</f>
        <v>67097.278851058945</v>
      </c>
      <c r="BU34" s="492">
        <f t="shared" si="106"/>
        <v>201291.83655317684</v>
      </c>
      <c r="BV34" s="222"/>
      <c r="BW34" s="532">
        <f t="shared" ref="BW34:BW46" si="140">Q34</f>
        <v>92633.95214513372</v>
      </c>
      <c r="BX34" s="492">
        <f t="shared" ref="BX34:BX46" si="141">Q34</f>
        <v>92633.95214513372</v>
      </c>
      <c r="BY34" s="492">
        <f t="shared" ref="BY34:BY46" si="142">Q34</f>
        <v>92633.95214513372</v>
      </c>
      <c r="BZ34" s="492">
        <f t="shared" si="107"/>
        <v>277901.85643540113</v>
      </c>
      <c r="CA34" s="222"/>
      <c r="CB34" s="532">
        <f t="shared" ref="CB34:CB46" si="143">R34</f>
        <v>130374.59939470865</v>
      </c>
      <c r="CC34" s="492">
        <f t="shared" ref="CC34:CC46" si="144">R34</f>
        <v>130374.59939470865</v>
      </c>
      <c r="CD34" s="492">
        <f t="shared" ref="CD34:CD46" si="145">R34</f>
        <v>130374.59939470865</v>
      </c>
      <c r="CE34" s="492">
        <f t="shared" si="108"/>
        <v>391123.79818412598</v>
      </c>
      <c r="CF34" s="222"/>
      <c r="CG34" s="532">
        <f t="shared" ref="CG34:CG46" si="146">S34</f>
        <v>186443.08648614929</v>
      </c>
      <c r="CH34" s="492">
        <f t="shared" ref="CH34:CH46" si="147">S34</f>
        <v>186443.08648614929</v>
      </c>
      <c r="CI34" s="492">
        <f t="shared" ref="CI34:CI46" si="148">S34</f>
        <v>186443.08648614929</v>
      </c>
      <c r="CJ34" s="492">
        <f t="shared" si="109"/>
        <v>559329.25945844781</v>
      </c>
      <c r="CK34" s="222"/>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row>
    <row r="35" spans="1:179" s="57" customFormat="1" ht="9.75" customHeight="1" x14ac:dyDescent="0.15">
      <c r="A35" s="488" t="s">
        <v>155</v>
      </c>
      <c r="B35" s="239">
        <v>0</v>
      </c>
      <c r="C35" s="126">
        <v>0.01</v>
      </c>
      <c r="D35" s="228"/>
      <c r="E35" s="624"/>
      <c r="F35" s="491">
        <f>SUM((IF(ISBLANK(D35),B35,D35))+(F34*(IF(ISBLANK(E35),C35,E35))))</f>
        <v>200</v>
      </c>
      <c r="G35" s="492">
        <f>SUM((IF(ISBLANK(D35),B35,D35))+(G34*(IF(ISBLANK(E35),C35,E35))))</f>
        <v>200</v>
      </c>
      <c r="H35" s="492">
        <f>SUM((IF(ISBLANK(D35),B35,D35))+(H34*(IF(ISBLANK(E35),C35,E35))))</f>
        <v>204.45818843948086</v>
      </c>
      <c r="I35" s="492">
        <f>SUM((IF(ISBLANK(D35),B35,D35))+(I34*(IF(ISBLANK(E35),C35,E35))))</f>
        <v>221.28448556263473</v>
      </c>
      <c r="J35" s="217">
        <f t="shared" si="110"/>
        <v>2477.2280220063467</v>
      </c>
      <c r="K35" s="492">
        <f>SUM((IF(ISBLANK(D35),B35,D35))+(K34*(IF(ISBLANK(E35),C35,E35))))</f>
        <v>251.10918128084725</v>
      </c>
      <c r="L35" s="492">
        <f>SUM((IF(ISBLANK(D35),B35,D35))+(L34*(IF(ISBLANK(E35),C35,E35))))</f>
        <v>302.17678465625869</v>
      </c>
      <c r="M35" s="492">
        <f>SUM((IF(ISBLANK(D35),B35,D35))+(M34*(IF(ISBLANK(E35),C35,E35))))</f>
        <v>380.78116050858995</v>
      </c>
      <c r="N35" s="492">
        <f>SUM((IF(ISBLANK(D35),B35,D35))+(N34*(IF(ISBLANK(E35),C35,E35))))</f>
        <v>497.84348230479515</v>
      </c>
      <c r="O35" s="217">
        <f t="shared" si="111"/>
        <v>4295.7318262514736</v>
      </c>
      <c r="P35" s="492">
        <f>SUM((IF(ISBLANK(D35),B35,D35))+(P34*(IF(ISBLANK(E35),C35,E35))))</f>
        <v>670.97278851058945</v>
      </c>
      <c r="Q35" s="492">
        <f>SUM((IF(ISBLANK(D35),B35,D35))+(Q34*(IF(ISBLANK(E35),C35,E35))))</f>
        <v>926.33952145133719</v>
      </c>
      <c r="R35" s="492">
        <f>SUM((IF(ISBLANK(D35),B35,D35))+(R34*(IF(ISBLANK(E35),C35,E35))))</f>
        <v>1303.7459939470866</v>
      </c>
      <c r="S35" s="492">
        <f>SUM((IF(ISBLANK(D35),B35,D35))+(S34*(IF(ISBLANK(E35),C35,E35))))</f>
        <v>1864.4308648614929</v>
      </c>
      <c r="T35" s="218">
        <f t="shared" si="112"/>
        <v>14296.467506311519</v>
      </c>
      <c r="U35" s="221"/>
      <c r="V35" s="239">
        <f>SUM((IF(ISBLANK(D35),B35,D35))+(V34*(IF(ISBLANK(E35),C35,E35))))</f>
        <v>74996.575066334655</v>
      </c>
      <c r="W35" s="217">
        <f>SUM((IF(ISBLANK(D35),B35,D35))+(W34*(IF(ISBLANK(E35),C35,E35))))</f>
        <v>115168.24827332828</v>
      </c>
      <c r="X35" s="242">
        <f>SUM((IF(ISBLANK(D35),B35,D35))+(X34*(IF(ISBLANK(E35),C35,E35))))</f>
        <v>207490.5819522583</v>
      </c>
      <c r="Y35" s="221"/>
      <c r="Z35" s="578">
        <v>4000</v>
      </c>
      <c r="AA35" s="617"/>
      <c r="AB35" s="532">
        <f t="shared" si="113"/>
        <v>200</v>
      </c>
      <c r="AC35" s="492">
        <f t="shared" si="114"/>
        <v>200</v>
      </c>
      <c r="AD35" s="492">
        <f t="shared" si="115"/>
        <v>200</v>
      </c>
      <c r="AE35" s="492">
        <f t="shared" si="98"/>
        <v>600</v>
      </c>
      <c r="AF35" s="222"/>
      <c r="AG35" s="532">
        <f t="shared" si="116"/>
        <v>200</v>
      </c>
      <c r="AH35" s="492">
        <f t="shared" si="117"/>
        <v>200</v>
      </c>
      <c r="AI35" s="492">
        <f t="shared" si="118"/>
        <v>200</v>
      </c>
      <c r="AJ35" s="492">
        <f t="shared" si="99"/>
        <v>600</v>
      </c>
      <c r="AK35" s="222"/>
      <c r="AL35" s="532">
        <f t="shared" si="119"/>
        <v>204.45818843948086</v>
      </c>
      <c r="AM35" s="492">
        <f t="shared" si="120"/>
        <v>204.45818843948086</v>
      </c>
      <c r="AN35" s="492">
        <f t="shared" si="121"/>
        <v>204.45818843948086</v>
      </c>
      <c r="AO35" s="492">
        <f t="shared" si="100"/>
        <v>613.37456531844259</v>
      </c>
      <c r="AP35" s="222"/>
      <c r="AQ35" s="532">
        <f t="shared" si="122"/>
        <v>221.28448556263473</v>
      </c>
      <c r="AR35" s="492">
        <f t="shared" si="123"/>
        <v>221.28448556263473</v>
      </c>
      <c r="AS35" s="492">
        <f t="shared" si="124"/>
        <v>221.28448556263473</v>
      </c>
      <c r="AT35" s="492">
        <f t="shared" si="101"/>
        <v>663.85345668790421</v>
      </c>
      <c r="AU35" s="222"/>
      <c r="AV35" s="617"/>
      <c r="AW35" s="532">
        <f t="shared" si="125"/>
        <v>251.10918128084725</v>
      </c>
      <c r="AX35" s="492">
        <f t="shared" si="126"/>
        <v>251.10918128084725</v>
      </c>
      <c r="AY35" s="492">
        <f t="shared" si="127"/>
        <v>251.10918128084725</v>
      </c>
      <c r="AZ35" s="492">
        <f t="shared" si="102"/>
        <v>753.32754384254179</v>
      </c>
      <c r="BA35" s="222"/>
      <c r="BB35" s="532">
        <f t="shared" si="128"/>
        <v>302.17678465625869</v>
      </c>
      <c r="BC35" s="492">
        <f t="shared" si="129"/>
        <v>302.17678465625869</v>
      </c>
      <c r="BD35" s="492">
        <f t="shared" si="130"/>
        <v>302.17678465625869</v>
      </c>
      <c r="BE35" s="492">
        <f t="shared" si="103"/>
        <v>906.53035396877613</v>
      </c>
      <c r="BF35" s="222"/>
      <c r="BG35" s="532">
        <f t="shared" si="131"/>
        <v>380.78116050858995</v>
      </c>
      <c r="BH35" s="492">
        <f t="shared" si="132"/>
        <v>380.78116050858995</v>
      </c>
      <c r="BI35" s="492">
        <f t="shared" si="133"/>
        <v>380.78116050858995</v>
      </c>
      <c r="BJ35" s="492">
        <f t="shared" si="104"/>
        <v>1142.3434815257699</v>
      </c>
      <c r="BK35" s="222"/>
      <c r="BL35" s="532">
        <f t="shared" si="134"/>
        <v>497.84348230479515</v>
      </c>
      <c r="BM35" s="492">
        <f t="shared" si="135"/>
        <v>497.84348230479515</v>
      </c>
      <c r="BN35" s="492">
        <f t="shared" si="136"/>
        <v>497.84348230479515</v>
      </c>
      <c r="BO35" s="492">
        <f t="shared" si="105"/>
        <v>1493.5304469143855</v>
      </c>
      <c r="BP35" s="222"/>
      <c r="BQ35" s="221"/>
      <c r="BR35" s="532">
        <f t="shared" si="137"/>
        <v>670.97278851058945</v>
      </c>
      <c r="BS35" s="492">
        <f t="shared" si="138"/>
        <v>670.97278851058945</v>
      </c>
      <c r="BT35" s="492">
        <f t="shared" si="139"/>
        <v>670.97278851058945</v>
      </c>
      <c r="BU35" s="492">
        <f t="shared" si="106"/>
        <v>2012.9183655317684</v>
      </c>
      <c r="BV35" s="222"/>
      <c r="BW35" s="532">
        <f t="shared" si="140"/>
        <v>926.33952145133719</v>
      </c>
      <c r="BX35" s="492">
        <f t="shared" si="141"/>
        <v>926.33952145133719</v>
      </c>
      <c r="BY35" s="492">
        <f t="shared" si="142"/>
        <v>926.33952145133719</v>
      </c>
      <c r="BZ35" s="492">
        <f t="shared" si="107"/>
        <v>2779.0185643540117</v>
      </c>
      <c r="CA35" s="222"/>
      <c r="CB35" s="532">
        <f t="shared" si="143"/>
        <v>1303.7459939470866</v>
      </c>
      <c r="CC35" s="492">
        <f t="shared" si="144"/>
        <v>1303.7459939470866</v>
      </c>
      <c r="CD35" s="492">
        <f t="shared" si="145"/>
        <v>1303.7459939470866</v>
      </c>
      <c r="CE35" s="492">
        <f t="shared" si="108"/>
        <v>3911.2379818412601</v>
      </c>
      <c r="CF35" s="222"/>
      <c r="CG35" s="532">
        <f t="shared" si="146"/>
        <v>1864.4308648614929</v>
      </c>
      <c r="CH35" s="492">
        <f t="shared" si="147"/>
        <v>1864.4308648614929</v>
      </c>
      <c r="CI35" s="492">
        <f t="shared" si="148"/>
        <v>1864.4308648614929</v>
      </c>
      <c r="CJ35" s="492">
        <f t="shared" si="109"/>
        <v>5593.2925945844781</v>
      </c>
      <c r="CK35" s="222"/>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row>
    <row r="36" spans="1:179" s="57" customFormat="1" ht="9.75" customHeight="1" x14ac:dyDescent="0.15">
      <c r="A36" s="488" t="s">
        <v>156</v>
      </c>
      <c r="B36" s="239">
        <v>1500</v>
      </c>
      <c r="C36" s="285">
        <v>7.0000000000000007E-2</v>
      </c>
      <c r="D36" s="228"/>
      <c r="E36" s="624"/>
      <c r="F36" s="491">
        <f>SUM((IF(ISBLANK(D36),B36,D36))+(F34*(IF(ISBLANK(E36),C36,E36))))</f>
        <v>2900</v>
      </c>
      <c r="G36" s="492">
        <f>SUM((IF(ISBLANK(D36),B36,D36))+(G34*(IF(ISBLANK(E36),C36,E36))))</f>
        <v>2900</v>
      </c>
      <c r="H36" s="492">
        <f>SUM((IF(ISBLANK(D36),B36,D36))+(H34*(IF(ISBLANK(E36),C36,E36))))</f>
        <v>2931.2073190763663</v>
      </c>
      <c r="I36" s="492">
        <f>SUM((IF(ISBLANK(D36),B36,D36))+(I34*(IF(ISBLANK(E36),C36,E36))))</f>
        <v>3048.9913989384431</v>
      </c>
      <c r="J36" s="217">
        <f t="shared" si="110"/>
        <v>35340.596154044426</v>
      </c>
      <c r="K36" s="492">
        <f>SUM((IF(ISBLANK(D36),B36,D36))+(K34*(IF(ISBLANK(E36),C36,E36))))</f>
        <v>3257.764268965931</v>
      </c>
      <c r="L36" s="492">
        <f>SUM((IF(ISBLANK(D36),B36,D36))+(L34*(IF(ISBLANK(E36),C36,E36))))</f>
        <v>3615.2374925938111</v>
      </c>
      <c r="M36" s="492">
        <f>SUM((IF(ISBLANK(D36),B36,D36))+(M34*(IF(ISBLANK(E36),C36,E36))))</f>
        <v>4165.4681235601302</v>
      </c>
      <c r="N36" s="492">
        <f>SUM((IF(ISBLANK(D36),B36,D36))+(N34*(IF(ISBLANK(E36),C36,E36))))</f>
        <v>4984.9043761335661</v>
      </c>
      <c r="O36" s="217">
        <f t="shared" si="111"/>
        <v>48070.122783760315</v>
      </c>
      <c r="P36" s="492">
        <f>SUM((IF(ISBLANK(D36),B36,D36))+(P34*(IF(ISBLANK(E36),C36,E36))))</f>
        <v>6196.8095195741262</v>
      </c>
      <c r="Q36" s="492">
        <f>SUM((IF(ISBLANK(D36),B36,D36))+(Q34*(IF(ISBLANK(E36),C36,E36))))</f>
        <v>7984.3766501593609</v>
      </c>
      <c r="R36" s="492">
        <f>SUM((IF(ISBLANK(D36),B36,D36))+(R34*(IF(ISBLANK(E36),C36,E36))))</f>
        <v>10626.221957629607</v>
      </c>
      <c r="S36" s="492">
        <f>SUM((IF(ISBLANK(D36),B36,D36))+(S34*(IF(ISBLANK(E36),C36,E36))))</f>
        <v>14551.016054030451</v>
      </c>
      <c r="T36" s="218">
        <f t="shared" si="112"/>
        <v>118075.27254418063</v>
      </c>
      <c r="U36" s="221"/>
      <c r="V36" s="239">
        <f>SUM((IF(ISBLANK(D36),B36,D36))+(V34*(IF(ISBLANK(E36),C36,E36))))</f>
        <v>526476.02546434256</v>
      </c>
      <c r="W36" s="217">
        <f>SUM((IF(ISBLANK(D36),B36,D36))+(W34*(IF(ISBLANK(E36),C36,E36))))</f>
        <v>807677.73791329807</v>
      </c>
      <c r="X36" s="242">
        <f>SUM((IF(ISBLANK(D36),B36,D36))+(X34*(IF(ISBLANK(E36),C36,E36))))</f>
        <v>1453934.0736658084</v>
      </c>
      <c r="Y36" s="221"/>
      <c r="Z36" s="578">
        <f>SUM(3832+10734+12859+20000)</f>
        <v>47425</v>
      </c>
      <c r="AA36" s="617"/>
      <c r="AB36" s="532">
        <f t="shared" si="113"/>
        <v>2900</v>
      </c>
      <c r="AC36" s="492">
        <f t="shared" si="114"/>
        <v>2900</v>
      </c>
      <c r="AD36" s="492">
        <f t="shared" si="115"/>
        <v>2900</v>
      </c>
      <c r="AE36" s="492">
        <f t="shared" si="98"/>
        <v>8700</v>
      </c>
      <c r="AF36" s="222"/>
      <c r="AG36" s="532">
        <f t="shared" si="116"/>
        <v>2900</v>
      </c>
      <c r="AH36" s="492">
        <f t="shared" si="117"/>
        <v>2900</v>
      </c>
      <c r="AI36" s="492">
        <f t="shared" si="118"/>
        <v>2900</v>
      </c>
      <c r="AJ36" s="492">
        <f t="shared" si="99"/>
        <v>8700</v>
      </c>
      <c r="AK36" s="222"/>
      <c r="AL36" s="532">
        <f t="shared" si="119"/>
        <v>2931.2073190763663</v>
      </c>
      <c r="AM36" s="492">
        <f t="shared" si="120"/>
        <v>2931.2073190763663</v>
      </c>
      <c r="AN36" s="492">
        <f t="shared" si="121"/>
        <v>2931.2073190763663</v>
      </c>
      <c r="AO36" s="492">
        <f t="shared" si="100"/>
        <v>8793.6219572290993</v>
      </c>
      <c r="AP36" s="222"/>
      <c r="AQ36" s="532">
        <f t="shared" si="122"/>
        <v>3048.9913989384431</v>
      </c>
      <c r="AR36" s="492">
        <f t="shared" si="123"/>
        <v>3048.9913989384431</v>
      </c>
      <c r="AS36" s="492">
        <f t="shared" si="124"/>
        <v>3048.9913989384431</v>
      </c>
      <c r="AT36" s="492">
        <f t="shared" si="101"/>
        <v>9146.9741968153285</v>
      </c>
      <c r="AU36" s="222"/>
      <c r="AV36" s="617"/>
      <c r="AW36" s="532">
        <f t="shared" si="125"/>
        <v>3257.764268965931</v>
      </c>
      <c r="AX36" s="492">
        <f t="shared" si="126"/>
        <v>3257.764268965931</v>
      </c>
      <c r="AY36" s="492">
        <f t="shared" si="127"/>
        <v>3257.764268965931</v>
      </c>
      <c r="AZ36" s="492">
        <f t="shared" si="102"/>
        <v>9773.2928068977926</v>
      </c>
      <c r="BA36" s="222"/>
      <c r="BB36" s="532">
        <f t="shared" si="128"/>
        <v>3615.2374925938111</v>
      </c>
      <c r="BC36" s="492">
        <f>L36</f>
        <v>3615.2374925938111</v>
      </c>
      <c r="BD36" s="492">
        <f t="shared" si="130"/>
        <v>3615.2374925938111</v>
      </c>
      <c r="BE36" s="492">
        <f t="shared" si="103"/>
        <v>10845.712477781433</v>
      </c>
      <c r="BF36" s="222"/>
      <c r="BG36" s="532">
        <f t="shared" si="131"/>
        <v>4165.4681235601302</v>
      </c>
      <c r="BH36" s="492">
        <f t="shared" si="132"/>
        <v>4165.4681235601302</v>
      </c>
      <c r="BI36" s="492">
        <f t="shared" si="133"/>
        <v>4165.4681235601302</v>
      </c>
      <c r="BJ36" s="492">
        <f t="shared" si="104"/>
        <v>12496.40437068039</v>
      </c>
      <c r="BK36" s="222"/>
      <c r="BL36" s="532">
        <f t="shared" si="134"/>
        <v>4984.9043761335661</v>
      </c>
      <c r="BM36" s="492">
        <f t="shared" si="135"/>
        <v>4984.9043761335661</v>
      </c>
      <c r="BN36" s="492">
        <f t="shared" si="136"/>
        <v>4984.9043761335661</v>
      </c>
      <c r="BO36" s="492">
        <f t="shared" si="105"/>
        <v>14954.713128400697</v>
      </c>
      <c r="BP36" s="222"/>
      <c r="BQ36" s="221"/>
      <c r="BR36" s="532">
        <f t="shared" si="137"/>
        <v>6196.8095195741262</v>
      </c>
      <c r="BS36" s="492">
        <f t="shared" si="138"/>
        <v>6196.8095195741262</v>
      </c>
      <c r="BT36" s="492">
        <f t="shared" si="139"/>
        <v>6196.8095195741262</v>
      </c>
      <c r="BU36" s="492">
        <f t="shared" si="106"/>
        <v>18590.428558722379</v>
      </c>
      <c r="BV36" s="222"/>
      <c r="BW36" s="532">
        <f t="shared" si="140"/>
        <v>7984.3766501593609</v>
      </c>
      <c r="BX36" s="492">
        <f t="shared" si="141"/>
        <v>7984.3766501593609</v>
      </c>
      <c r="BY36" s="492">
        <f t="shared" si="142"/>
        <v>7984.3766501593609</v>
      </c>
      <c r="BZ36" s="492">
        <f t="shared" si="107"/>
        <v>23953.129950478084</v>
      </c>
      <c r="CA36" s="222"/>
      <c r="CB36" s="532">
        <f t="shared" si="143"/>
        <v>10626.221957629607</v>
      </c>
      <c r="CC36" s="492">
        <f t="shared" si="144"/>
        <v>10626.221957629607</v>
      </c>
      <c r="CD36" s="492">
        <f t="shared" si="145"/>
        <v>10626.221957629607</v>
      </c>
      <c r="CE36" s="492">
        <f t="shared" si="108"/>
        <v>31878.665872888821</v>
      </c>
      <c r="CF36" s="222"/>
      <c r="CG36" s="532">
        <f t="shared" si="146"/>
        <v>14551.016054030451</v>
      </c>
      <c r="CH36" s="492">
        <f t="shared" si="147"/>
        <v>14551.016054030451</v>
      </c>
      <c r="CI36" s="492">
        <f t="shared" si="148"/>
        <v>14551.016054030451</v>
      </c>
      <c r="CJ36" s="492">
        <f t="shared" si="109"/>
        <v>43653.048162091356</v>
      </c>
      <c r="CK36" s="222"/>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row>
    <row r="37" spans="1:179" s="57" customFormat="1" ht="9.75" customHeight="1" x14ac:dyDescent="0.15">
      <c r="A37" s="488" t="s">
        <v>157</v>
      </c>
      <c r="B37" s="145">
        <v>0.3</v>
      </c>
      <c r="C37" s="126">
        <v>-1.4999999999999999E-2</v>
      </c>
      <c r="D37" s="291"/>
      <c r="E37" s="624"/>
      <c r="F37" s="491">
        <f>SUM((IF(AE21*((0*(IF(ISBLANK(E37),C37,E37)))+IF(ISBLANK(D37),B37,D37)) &lt; 0, 0, (AE21*((0*(IF(ISBLANK(E37),C37,E37)))+IF(ISBLANK(D37),B37,D37)))))/3)</f>
        <v>0</v>
      </c>
      <c r="G37" s="492">
        <f>SUM((IF(AJ21*((0*(IF(ISBLANK(E37),C37,E37)))+IF(ISBLANK(D37),B37,D37)) &lt; 0, 0, (AJ21*((0*(IF(ISBLANK(E37),C37,E37)))+IF(ISBLANK(D37),B37,D37)))))/3)</f>
        <v>0</v>
      </c>
      <c r="H37" s="492">
        <f>SUM((IF(AO21*((0*(IF(ISBLANK(E37),C37,E37)))+IF(ISBLANK(D37),B37,D37)) &lt; 0, 0, (AO21*((0*(IF(ISBLANK(E37),C37,E37)))+IF(ISBLANK(D37),B37,D37)))))/3)</f>
        <v>1337.4565318442658</v>
      </c>
      <c r="I37" s="492">
        <f>SUM((IF(AT21*((1*(IF(ISBLANK(E37),C37,E37)))+IF(ISBLANK(D37),B37,D37)) &lt; 0, 0, (AT21*((1*(IF(ISBLANK(E37),C37,E37)))+IF(ISBLANK(D37),B37,D37)))))/3)</f>
        <v>2979.0821136075642</v>
      </c>
      <c r="J37" s="217">
        <f t="shared" si="110"/>
        <v>12949.615936355491</v>
      </c>
      <c r="K37" s="492">
        <f>SUM((IF(AZ21*((2*(IF(ISBLANK(E37),C37,E37)))+IF(ISBLANK(D37),B37,D37)) &lt; 0, 0, (AZ21*((2*(IF(ISBLANK(E37),C37,E37)))+IF(ISBLANK(D37),B37,D37)))))/3)</f>
        <v>4756.850203157951</v>
      </c>
      <c r="L37" s="492">
        <f>SUM((IF(BE21*((3*(IF(ISBLANK(E37),C37,E37)))+IF(ISBLANK(D37),B37,D37)) &lt; 0, 0, (BE21*((3*(IF(ISBLANK(E37),C37,E37)))+IF(ISBLANK(D37),B37,D37)))))/3)</f>
        <v>6872.649426223591</v>
      </c>
      <c r="M37" s="492">
        <f>SUM((IF(BJ21*((4*(IF(ISBLANK(E37),C37,E37)))+IF(ISBLANK(D37),B37,D37)) &lt; 0, 0, (BJ21*((4*(IF(ISBLANK(E37),C37,E37)))+IF(ISBLANK(D37),B37,D37)))))/3)</f>
        <v>9432.5251022797511</v>
      </c>
      <c r="N37" s="492">
        <f>SUM((IF(BO21*((5*(IF(ISBLANK(E37),C37,E37)))+IF(ISBLANK(D37),B37,D37)) &lt; 0, 0, (BO21*((5*(IF(ISBLANK(E37),C37,E37)))+IF(ISBLANK(D37),B37,D37)))))/3)</f>
        <v>12927.127560317133</v>
      </c>
      <c r="O37" s="217">
        <f t="shared" si="111"/>
        <v>101967.45687593528</v>
      </c>
      <c r="P37" s="492">
        <f>SUM((IF(BU21*((6*(IF(ISBLANK(E37),C37,E37)))+IF(ISBLANK(D37),B37,D37)) &lt; 0, 0, (BU21*((6*(IF(ISBLANK(E37),C37,E37)))+IF(ISBLANK(D37),B37,D37)))))/3)</f>
        <v>17947.435931281296</v>
      </c>
      <c r="Q37" s="492">
        <f>SUM((IF(BZ21*((7*(IF(ISBLANK(E37),C37,E37)))+IF(ISBLANK(D37),B37,D37)) &lt; 0, 0, (BZ21*((7*(IF(ISBLANK(E37),C37,E37)))+IF(ISBLANK(D37),B37,D37)))))/3)</f>
        <v>25186.855851690187</v>
      </c>
      <c r="R37" s="492">
        <f>SUM((IF(CE21*((8*(IF(ISBLANK(E37),C37,E37)))+IF(ISBLANK(D37),B37,D37)) &lt; 0, 0, (CE21*((8*(IF(ISBLANK(E37),C37,E37)))+IF(ISBLANK(D37),B37,D37)))))/3)</f>
        <v>35754.297394334142</v>
      </c>
      <c r="S37" s="492">
        <f>SUM((IF(CJ21*((9*(IF(ISBLANK(E37),C37,E37)))+IF(ISBLANK(D37),B37,D37)) &lt; 0, 0, (CJ21*((9*(IF(ISBLANK(E37),C37,E37)))+IF(ISBLANK(D37),B37,D37)))))/3)</f>
        <v>51379.122716520149</v>
      </c>
      <c r="T37" s="218">
        <f t="shared" si="112"/>
        <v>390803.13568147732</v>
      </c>
      <c r="U37" s="221"/>
      <c r="V37" s="239">
        <f>SUM((IF((V21*V18)*((10*(IF(ISBLANK(E37),C37,E37)))+IF(ISBLANK(D37),B37,D37)) &lt; 0, 0, ((V21*V18)*((10*(IF(ISBLANK(E37),C37,E37)))+IF(ISBLANK(D37),B37,D37))))))</f>
        <v>1571383.1749834095</v>
      </c>
      <c r="W37" s="217">
        <f>SUM((IF((W21*W18)*((10*(IF(ISBLANK(E37),C37,E37)))+IF(ISBLANK(D37),B37,D37)) &lt; 0, 0, ((W21*W18)*((10*(IF(ISBLANK(E37),C37,E37)))+IF(ISBLANK(D37),B37,D37))))))</f>
        <v>5705993.5945610851</v>
      </c>
      <c r="X37" s="242">
        <f>SUM((IF((X21*X18)*((10*(IF(ISBLANK(E37),C37,E37)))+IF(ISBLANK(D37),B37,D37)) &lt; 0, 0, ((X21*X18)*((10*(IF(ISBLANK(E37),C37,E37)))+IF(ISBLANK(D37),B37,D37))))))</f>
        <v>12416237.435672857</v>
      </c>
      <c r="Y37" s="221"/>
      <c r="Z37" s="578">
        <v>0</v>
      </c>
      <c r="AA37" s="617"/>
      <c r="AB37" s="532">
        <f t="shared" si="113"/>
        <v>0</v>
      </c>
      <c r="AC37" s="492">
        <f t="shared" si="114"/>
        <v>0</v>
      </c>
      <c r="AD37" s="492">
        <f t="shared" si="115"/>
        <v>0</v>
      </c>
      <c r="AE37" s="492">
        <f>SUM(AB37:AD37)</f>
        <v>0</v>
      </c>
      <c r="AF37" s="222"/>
      <c r="AG37" s="532">
        <f t="shared" si="116"/>
        <v>0</v>
      </c>
      <c r="AH37" s="492">
        <f t="shared" si="117"/>
        <v>0</v>
      </c>
      <c r="AI37" s="492">
        <f t="shared" si="118"/>
        <v>0</v>
      </c>
      <c r="AJ37" s="492">
        <f>SUM(AG37:AI37)</f>
        <v>0</v>
      </c>
      <c r="AK37" s="222"/>
      <c r="AL37" s="532">
        <f t="shared" si="119"/>
        <v>1337.4565318442658</v>
      </c>
      <c r="AM37" s="492">
        <f t="shared" si="120"/>
        <v>1337.4565318442658</v>
      </c>
      <c r="AN37" s="492">
        <f t="shared" si="121"/>
        <v>1337.4565318442658</v>
      </c>
      <c r="AO37" s="492">
        <f>SUM(AL37:AN37)</f>
        <v>4012.3695955327976</v>
      </c>
      <c r="AP37" s="222"/>
      <c r="AQ37" s="532">
        <f t="shared" si="122"/>
        <v>2979.0821136075642</v>
      </c>
      <c r="AR37" s="492">
        <f t="shared" si="123"/>
        <v>2979.0821136075642</v>
      </c>
      <c r="AS37" s="492">
        <f t="shared" si="124"/>
        <v>2979.0821136075642</v>
      </c>
      <c r="AT37" s="492">
        <f>SUM(AQ37:AS37)</f>
        <v>8937.2463408226922</v>
      </c>
      <c r="AU37" s="222"/>
      <c r="AV37" s="617"/>
      <c r="AW37" s="532">
        <f t="shared" si="125"/>
        <v>4756.850203157951</v>
      </c>
      <c r="AX37" s="492">
        <f t="shared" si="126"/>
        <v>4756.850203157951</v>
      </c>
      <c r="AY37" s="492">
        <f t="shared" si="127"/>
        <v>4756.850203157951</v>
      </c>
      <c r="AZ37" s="492">
        <f>SUM(AW37:AY37)</f>
        <v>14270.550609473852</v>
      </c>
      <c r="BA37" s="222"/>
      <c r="BB37" s="532">
        <f t="shared" si="128"/>
        <v>6872.649426223591</v>
      </c>
      <c r="BC37" s="492">
        <f>L37</f>
        <v>6872.649426223591</v>
      </c>
      <c r="BD37" s="492">
        <f t="shared" si="130"/>
        <v>6872.649426223591</v>
      </c>
      <c r="BE37" s="492">
        <f>SUM(BB37:BD37)</f>
        <v>20617.948278670774</v>
      </c>
      <c r="BF37" s="222"/>
      <c r="BG37" s="532">
        <f t="shared" si="131"/>
        <v>9432.5251022797511</v>
      </c>
      <c r="BH37" s="492">
        <f t="shared" si="132"/>
        <v>9432.5251022797511</v>
      </c>
      <c r="BI37" s="492">
        <f t="shared" si="133"/>
        <v>9432.5251022797511</v>
      </c>
      <c r="BJ37" s="492">
        <f>SUM(BG37:BI37)</f>
        <v>28297.575306839251</v>
      </c>
      <c r="BK37" s="222"/>
      <c r="BL37" s="532">
        <f t="shared" si="134"/>
        <v>12927.127560317133</v>
      </c>
      <c r="BM37" s="492">
        <f t="shared" si="135"/>
        <v>12927.127560317133</v>
      </c>
      <c r="BN37" s="492">
        <f t="shared" si="136"/>
        <v>12927.127560317133</v>
      </c>
      <c r="BO37" s="492">
        <f>SUM(BL37:BN37)</f>
        <v>38781.382680951399</v>
      </c>
      <c r="BP37" s="222"/>
      <c r="BQ37" s="221"/>
      <c r="BR37" s="532">
        <f t="shared" si="137"/>
        <v>17947.435931281296</v>
      </c>
      <c r="BS37" s="492">
        <f t="shared" si="138"/>
        <v>17947.435931281296</v>
      </c>
      <c r="BT37" s="492">
        <f t="shared" si="139"/>
        <v>17947.435931281296</v>
      </c>
      <c r="BU37" s="492">
        <f>SUM(BR37:BT37)</f>
        <v>53842.307793843887</v>
      </c>
      <c r="BV37" s="222"/>
      <c r="BW37" s="532">
        <f t="shared" si="140"/>
        <v>25186.855851690187</v>
      </c>
      <c r="BX37" s="492">
        <f t="shared" si="141"/>
        <v>25186.855851690187</v>
      </c>
      <c r="BY37" s="492">
        <f t="shared" si="142"/>
        <v>25186.855851690187</v>
      </c>
      <c r="BZ37" s="492">
        <f>SUM(BW37:BY37)</f>
        <v>75560.567555070564</v>
      </c>
      <c r="CA37" s="222"/>
      <c r="CB37" s="532">
        <f t="shared" si="143"/>
        <v>35754.297394334142</v>
      </c>
      <c r="CC37" s="492">
        <f t="shared" si="144"/>
        <v>35754.297394334142</v>
      </c>
      <c r="CD37" s="492">
        <f t="shared" si="145"/>
        <v>35754.297394334142</v>
      </c>
      <c r="CE37" s="492">
        <f>SUM(CB37:CD37)</f>
        <v>107262.89218300243</v>
      </c>
      <c r="CF37" s="222"/>
      <c r="CG37" s="532">
        <f t="shared" si="146"/>
        <v>51379.122716520149</v>
      </c>
      <c r="CH37" s="492">
        <f t="shared" si="147"/>
        <v>51379.122716520149</v>
      </c>
      <c r="CI37" s="492">
        <f t="shared" si="148"/>
        <v>51379.122716520149</v>
      </c>
      <c r="CJ37" s="492">
        <f>SUM(CG37:CI37)</f>
        <v>154137.36814956044</v>
      </c>
      <c r="CK37" s="222"/>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row>
    <row r="38" spans="1:179" s="57" customFormat="1" ht="9.75" customHeight="1" x14ac:dyDescent="0.15">
      <c r="A38" s="488" t="s">
        <v>158</v>
      </c>
      <c r="B38" s="239">
        <v>3000</v>
      </c>
      <c r="C38" s="218">
        <v>5000</v>
      </c>
      <c r="D38" s="228"/>
      <c r="E38" s="229"/>
      <c r="F38" s="491">
        <f>SUM((IF(ISBLANK(D38),B38,D38)))</f>
        <v>3000</v>
      </c>
      <c r="G38" s="492">
        <f>SUM((IF(ISBLANK(D38),B38,D38)))</f>
        <v>3000</v>
      </c>
      <c r="H38" s="492">
        <f>SUM((IF(ISBLANK(D38),B38,D38)))</f>
        <v>3000</v>
      </c>
      <c r="I38" s="492">
        <f>SUM((IF(ISBLANK(D38),B38,D38)))</f>
        <v>3000</v>
      </c>
      <c r="J38" s="217">
        <f t="shared" si="110"/>
        <v>36000</v>
      </c>
      <c r="K38" s="492">
        <f>SUM((IF(ISBLANK(D38),B38,D38))+(IF(ISBLANK(E38),C38,E38)))</f>
        <v>8000</v>
      </c>
      <c r="L38" s="492">
        <f>SUM((IF(ISBLANK(D38),B38,D38))+(IF(ISBLANK(E38),C38,E38)))</f>
        <v>8000</v>
      </c>
      <c r="M38" s="492">
        <f>SUM((IF(ISBLANK(D38),B38,D38))+(IF(ISBLANK(E38),C38,E38)))</f>
        <v>8000</v>
      </c>
      <c r="N38" s="492">
        <f>SUM((IF(ISBLANK(D38),B38,D38))+(IF(ISBLANK(E38),C38,E38)))</f>
        <v>8000</v>
      </c>
      <c r="O38" s="217">
        <f t="shared" si="111"/>
        <v>96000</v>
      </c>
      <c r="P38" s="492">
        <f>SUM((IF(ISBLANK(D38),B38,D38))+(IF(ISBLANK(E38),C38,E38)))</f>
        <v>8000</v>
      </c>
      <c r="Q38" s="492">
        <f>SUM((IF(ISBLANK(D38),B38,D38))+(IF(ISBLANK(E38),C38,E38)))</f>
        <v>8000</v>
      </c>
      <c r="R38" s="492">
        <f>SUM((IF(ISBLANK(D38),B38,D38))+(IF(ISBLANK(E38),C38,E38)))</f>
        <v>8000</v>
      </c>
      <c r="S38" s="492">
        <f>SUM((IF(ISBLANK(D38),B38,D38))+(IF(ISBLANK(E38),C38,E38)))</f>
        <v>8000</v>
      </c>
      <c r="T38" s="218">
        <f t="shared" si="112"/>
        <v>96000</v>
      </c>
      <c r="U38" s="221"/>
      <c r="V38" s="239">
        <f>SUM(S38*12)</f>
        <v>96000</v>
      </c>
      <c r="W38" s="217">
        <f>SUM(S38*12)</f>
        <v>96000</v>
      </c>
      <c r="X38" s="242">
        <f>SUM(S38*12)</f>
        <v>96000</v>
      </c>
      <c r="Y38" s="221"/>
      <c r="Z38" s="578">
        <v>45000</v>
      </c>
      <c r="AA38" s="617"/>
      <c r="AB38" s="532">
        <f t="shared" si="113"/>
        <v>3000</v>
      </c>
      <c r="AC38" s="492">
        <f t="shared" si="114"/>
        <v>3000</v>
      </c>
      <c r="AD38" s="492">
        <f t="shared" si="115"/>
        <v>3000</v>
      </c>
      <c r="AE38" s="492">
        <f t="shared" si="98"/>
        <v>9000</v>
      </c>
      <c r="AF38" s="222"/>
      <c r="AG38" s="532">
        <f t="shared" si="116"/>
        <v>3000</v>
      </c>
      <c r="AH38" s="492">
        <f t="shared" si="117"/>
        <v>3000</v>
      </c>
      <c r="AI38" s="492">
        <f t="shared" si="118"/>
        <v>3000</v>
      </c>
      <c r="AJ38" s="492">
        <f t="shared" si="99"/>
        <v>9000</v>
      </c>
      <c r="AK38" s="222"/>
      <c r="AL38" s="532">
        <f t="shared" si="119"/>
        <v>3000</v>
      </c>
      <c r="AM38" s="492">
        <f t="shared" si="120"/>
        <v>3000</v>
      </c>
      <c r="AN38" s="492">
        <f t="shared" si="121"/>
        <v>3000</v>
      </c>
      <c r="AO38" s="492">
        <f t="shared" si="100"/>
        <v>9000</v>
      </c>
      <c r="AP38" s="222"/>
      <c r="AQ38" s="532">
        <f t="shared" si="122"/>
        <v>3000</v>
      </c>
      <c r="AR38" s="492">
        <f t="shared" si="123"/>
        <v>3000</v>
      </c>
      <c r="AS38" s="492">
        <f t="shared" si="124"/>
        <v>3000</v>
      </c>
      <c r="AT38" s="492">
        <f t="shared" si="101"/>
        <v>9000</v>
      </c>
      <c r="AU38" s="222"/>
      <c r="AV38" s="617"/>
      <c r="AW38" s="532">
        <f t="shared" si="125"/>
        <v>8000</v>
      </c>
      <c r="AX38" s="492">
        <f t="shared" si="126"/>
        <v>8000</v>
      </c>
      <c r="AY38" s="492">
        <f t="shared" si="127"/>
        <v>8000</v>
      </c>
      <c r="AZ38" s="492">
        <f t="shared" si="102"/>
        <v>24000</v>
      </c>
      <c r="BA38" s="222"/>
      <c r="BB38" s="532">
        <f t="shared" si="128"/>
        <v>8000</v>
      </c>
      <c r="BC38" s="492">
        <f t="shared" si="129"/>
        <v>8000</v>
      </c>
      <c r="BD38" s="492">
        <f t="shared" si="130"/>
        <v>8000</v>
      </c>
      <c r="BE38" s="492">
        <f t="shared" si="103"/>
        <v>24000</v>
      </c>
      <c r="BF38" s="222"/>
      <c r="BG38" s="532">
        <f t="shared" si="131"/>
        <v>8000</v>
      </c>
      <c r="BH38" s="492">
        <f t="shared" si="132"/>
        <v>8000</v>
      </c>
      <c r="BI38" s="492">
        <f t="shared" si="133"/>
        <v>8000</v>
      </c>
      <c r="BJ38" s="492">
        <f t="shared" si="104"/>
        <v>24000</v>
      </c>
      <c r="BK38" s="222"/>
      <c r="BL38" s="532">
        <f t="shared" si="134"/>
        <v>8000</v>
      </c>
      <c r="BM38" s="492">
        <f t="shared" si="135"/>
        <v>8000</v>
      </c>
      <c r="BN38" s="492">
        <f t="shared" si="136"/>
        <v>8000</v>
      </c>
      <c r="BO38" s="492">
        <f t="shared" si="105"/>
        <v>24000</v>
      </c>
      <c r="BP38" s="222"/>
      <c r="BQ38" s="221"/>
      <c r="BR38" s="532">
        <f t="shared" si="137"/>
        <v>8000</v>
      </c>
      <c r="BS38" s="492">
        <f t="shared" si="138"/>
        <v>8000</v>
      </c>
      <c r="BT38" s="492">
        <f t="shared" si="139"/>
        <v>8000</v>
      </c>
      <c r="BU38" s="492">
        <f t="shared" si="106"/>
        <v>24000</v>
      </c>
      <c r="BV38" s="222"/>
      <c r="BW38" s="532">
        <f t="shared" si="140"/>
        <v>8000</v>
      </c>
      <c r="BX38" s="492">
        <f t="shared" si="141"/>
        <v>8000</v>
      </c>
      <c r="BY38" s="492">
        <f t="shared" si="142"/>
        <v>8000</v>
      </c>
      <c r="BZ38" s="492">
        <f t="shared" si="107"/>
        <v>24000</v>
      </c>
      <c r="CA38" s="222"/>
      <c r="CB38" s="532">
        <f t="shared" si="143"/>
        <v>8000</v>
      </c>
      <c r="CC38" s="492">
        <f t="shared" si="144"/>
        <v>8000</v>
      </c>
      <c r="CD38" s="492">
        <f t="shared" si="145"/>
        <v>8000</v>
      </c>
      <c r="CE38" s="492">
        <f t="shared" si="108"/>
        <v>24000</v>
      </c>
      <c r="CF38" s="222"/>
      <c r="CG38" s="532">
        <f t="shared" si="146"/>
        <v>8000</v>
      </c>
      <c r="CH38" s="492">
        <f t="shared" si="147"/>
        <v>8000</v>
      </c>
      <c r="CI38" s="492">
        <f t="shared" si="148"/>
        <v>8000</v>
      </c>
      <c r="CJ38" s="492">
        <f t="shared" si="109"/>
        <v>24000</v>
      </c>
      <c r="CK38" s="222"/>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row>
    <row r="39" spans="1:179" s="57" customFormat="1" ht="9.75" customHeight="1" x14ac:dyDescent="0.15">
      <c r="A39" s="488" t="s">
        <v>193</v>
      </c>
      <c r="B39" s="145">
        <v>0.2</v>
      </c>
      <c r="C39" s="126">
        <v>0</v>
      </c>
      <c r="D39" s="291"/>
      <c r="E39" s="624"/>
      <c r="F39" s="226">
        <v>0</v>
      </c>
      <c r="G39" s="492">
        <f>IF(IF(F30&gt;0,F30*((0*(IF(ISBLANK(E39),C39,E39)))+(IF(ISBLANK(D39),B39,D39))),0)&lt;0,0,IF(F30&gt;0,F30*((0*(IF(ISBLANK(E39),C39,E39)))+(IF(ISBLANK(D39),B39,D39))),0))/3</f>
        <v>0</v>
      </c>
      <c r="H39" s="492">
        <f>IF(IF(G30&gt;0,G30*((0*(IF(ISBLANK(E39),C39,E39)))+(IF(ISBLANK(D39),B39,D39))),0)&lt;0,0,IF(G30&gt;0,G30*((0*(IF(ISBLANK(E39),C39,E39)))+(IF(ISBLANK(D39),B39,D39))),0))/3</f>
        <v>0</v>
      </c>
      <c r="I39" s="492">
        <f>IF(IF(H30&gt;0,H30*((1*(IF(ISBLANK(E39),C39,E39)))+(IF(ISBLANK(D39),B39,D39))),0)&lt;0,0,IF(H30&gt;0,H30*((1*(IF(ISBLANK(E39),C39,E39)))+(IF(ISBLANK(D39),B39,D39))),0))/3</f>
        <v>891.63768789617734</v>
      </c>
      <c r="J39" s="217">
        <f t="shared" si="110"/>
        <v>2674.913063688532</v>
      </c>
      <c r="K39" s="492">
        <f>IF(IF(I30&gt;0,I30*((2*(IF(ISBLANK(E39),C39,E39)))+(IF(ISBLANK(D39),B39,D39))),0)&lt;0,0,IF(I30&gt;0,I30*((2*(IF(ISBLANK(E39),C39,E39)))+(IF(ISBLANK(D39),B39,D39))),0))/3</f>
        <v>3542.3783417165973</v>
      </c>
      <c r="L39" s="492">
        <f>IF(IF(K30&gt;0,K30*((3*(IF(ISBLANK(E39),C39,E39)))+(IF(ISBLANK(D39),B39,D39))),0)&lt;0,0,IF(K30&gt;0,K30*((3*(IF(ISBLANK(E39),C39,E39)))+(IF(ISBLANK(D39),B39,D39))),0))/3</f>
        <v>6627.7101596027896</v>
      </c>
      <c r="M39" s="492">
        <f>IF(IF(L30&gt;0,L30*((4*(IF(ISBLANK(E39),C39,E39)))+(IF(ISBLANK(D39),B39,D39))),0)&lt;0,0,IF(L30&gt;0,L30*((4*(IF(ISBLANK(E39),C39,E39)))+(IF(ISBLANK(D39),B39,D39))),0))/3</f>
        <v>12015.906676567392</v>
      </c>
      <c r="N39" s="492">
        <f>IF(IF(M30&gt;0,M30*((5*(IF(ISBLANK(E39),C39,E39)))+(IF(ISBLANK(D39),B39,D39))),0)&lt;0,0,IF(M30&gt;0,M30*((5*(IF(ISBLANK(E39),C39,E39)))+(IF(ISBLANK(D39),B39,D39))),0))/3</f>
        <v>19651.093963082818</v>
      </c>
      <c r="O39" s="217">
        <f t="shared" si="111"/>
        <v>125511.26742290879</v>
      </c>
      <c r="P39" s="492">
        <f>IF(IF(N30&gt;0,N30*((6*(IF(ISBLANK(E39),C39,E39)))+(IF(ISBLANK(D39),B39,D39))),0)&lt;0,0,IF(N30&gt;0,N30*((6*(IF(ISBLANK(E39),C39,E39)))+(IF(ISBLANK(D39),B39,D39))),0))/3</f>
        <v>31216.619145654709</v>
      </c>
      <c r="Q39" s="492">
        <f>IF(IF(P30&gt;0,P30*((7*(IF(ISBLANK(E39),C39,E39)))+(IF(ISBLANK(D39),B39,D39))),0)&lt;0,0,IF(P30&gt;0,P30*((7*(IF(ISBLANK(E39),C39,E39)))+(IF(ISBLANK(D39),B39,D39))),0))/3</f>
        <v>49465.516058798377</v>
      </c>
      <c r="R39" s="492">
        <f>IF(IF(Q30&gt;0,Q30*((8*(IF(ISBLANK(E39),C39,E39)))+(IF(ISBLANK(D39),B39,D39))),0)&lt;0,0,IF(Q30&gt;0,Q30*((8*(IF(ISBLANK(E39),C39,E39)))+(IF(ISBLANK(D39),B39,D39))),0))/3</f>
        <v>78574.379366383931</v>
      </c>
      <c r="S39" s="492">
        <f>IF(IF(R30&gt;0,R30*((9*(IF(ISBLANK(E39),C39,E39)))+(IF(ISBLANK(D39),B39,D39))),0)&lt;0,0,IF(R30&gt;0,R30*((9*(IF(ISBLANK(E39),C39,E39)))+(IF(ISBLANK(D39),B39,D39))),0))/3</f>
        <v>125802.15749858312</v>
      </c>
      <c r="T39" s="218">
        <f t="shared" si="112"/>
        <v>855176.01620826032</v>
      </c>
      <c r="U39" s="221"/>
      <c r="V39" s="239">
        <f>SUM((V30*(IF(ISBLANK(D39),B39,D39)+(10*IF(ISBLANK(E39),C39,E39))))+(S30*(IF(ISBLANK(D39),B39,D39)+(10*IF(ISBLANK(E39),C39,E39)))))</f>
        <v>5873996.6916153897</v>
      </c>
      <c r="W39" s="217">
        <f>SUM((W30*(IF(ISBLANK(D39),B39,D39)+(11*IF(ISBLANK(E39),C39,E39)))))</f>
        <v>17854076.980886061</v>
      </c>
      <c r="X39" s="242">
        <f>SUM((X30*(IF(ISBLANK(D39),B39,D39)+(12*IF(ISBLANK(E39),C39,E39)))))</f>
        <v>46161166.839465007</v>
      </c>
      <c r="Y39" s="221"/>
      <c r="Z39" s="578">
        <v>0</v>
      </c>
      <c r="AA39" s="617"/>
      <c r="AB39" s="532">
        <f>F39</f>
        <v>0</v>
      </c>
      <c r="AC39" s="492">
        <f>F39</f>
        <v>0</v>
      </c>
      <c r="AD39" s="492">
        <f>F39</f>
        <v>0</v>
      </c>
      <c r="AE39" s="492">
        <f t="shared" si="98"/>
        <v>0</v>
      </c>
      <c r="AF39" s="222"/>
      <c r="AG39" s="532">
        <f>G39</f>
        <v>0</v>
      </c>
      <c r="AH39" s="492">
        <f>G39</f>
        <v>0</v>
      </c>
      <c r="AI39" s="492">
        <f>G39</f>
        <v>0</v>
      </c>
      <c r="AJ39" s="492">
        <f t="shared" si="99"/>
        <v>0</v>
      </c>
      <c r="AK39" s="222"/>
      <c r="AL39" s="532">
        <f>H39</f>
        <v>0</v>
      </c>
      <c r="AM39" s="492">
        <f>H39</f>
        <v>0</v>
      </c>
      <c r="AN39" s="492">
        <f>H39</f>
        <v>0</v>
      </c>
      <c r="AO39" s="492">
        <f t="shared" si="100"/>
        <v>0</v>
      </c>
      <c r="AP39" s="222"/>
      <c r="AQ39" s="532">
        <f>I39</f>
        <v>891.63768789617734</v>
      </c>
      <c r="AR39" s="492">
        <f>I39</f>
        <v>891.63768789617734</v>
      </c>
      <c r="AS39" s="492">
        <f>I39</f>
        <v>891.63768789617734</v>
      </c>
      <c r="AT39" s="492">
        <f t="shared" si="101"/>
        <v>2674.913063688532</v>
      </c>
      <c r="AU39" s="222"/>
      <c r="AV39" s="617"/>
      <c r="AW39" s="532">
        <f>K39</f>
        <v>3542.3783417165973</v>
      </c>
      <c r="AX39" s="492">
        <f>K39</f>
        <v>3542.3783417165973</v>
      </c>
      <c r="AY39" s="492">
        <f>K39</f>
        <v>3542.3783417165973</v>
      </c>
      <c r="AZ39" s="492">
        <f t="shared" si="102"/>
        <v>10627.135025149792</v>
      </c>
      <c r="BA39" s="222"/>
      <c r="BB39" s="532">
        <f>L39</f>
        <v>6627.7101596027896</v>
      </c>
      <c r="BC39" s="492">
        <f>L39</f>
        <v>6627.7101596027896</v>
      </c>
      <c r="BD39" s="492">
        <f>L39</f>
        <v>6627.7101596027896</v>
      </c>
      <c r="BE39" s="492">
        <f t="shared" si="103"/>
        <v>19883.130478808369</v>
      </c>
      <c r="BF39" s="222"/>
      <c r="BG39" s="532">
        <f>M39</f>
        <v>12015.906676567392</v>
      </c>
      <c r="BH39" s="492">
        <f>M39</f>
        <v>12015.906676567392</v>
      </c>
      <c r="BI39" s="492">
        <f>M39</f>
        <v>12015.906676567392</v>
      </c>
      <c r="BJ39" s="492">
        <f t="shared" si="104"/>
        <v>36047.720029702177</v>
      </c>
      <c r="BK39" s="222"/>
      <c r="BL39" s="532">
        <f>N39</f>
        <v>19651.093963082818</v>
      </c>
      <c r="BM39" s="492">
        <f>N39</f>
        <v>19651.093963082818</v>
      </c>
      <c r="BN39" s="492">
        <f>N39</f>
        <v>19651.093963082818</v>
      </c>
      <c r="BO39" s="492">
        <f t="shared" si="105"/>
        <v>58953.28188924845</v>
      </c>
      <c r="BP39" s="222"/>
      <c r="BQ39" s="221"/>
      <c r="BR39" s="532">
        <f>P39</f>
        <v>31216.619145654709</v>
      </c>
      <c r="BS39" s="492">
        <f>P39</f>
        <v>31216.619145654709</v>
      </c>
      <c r="BT39" s="492">
        <f>P39</f>
        <v>31216.619145654709</v>
      </c>
      <c r="BU39" s="492">
        <f t="shared" si="106"/>
        <v>93649.857436964128</v>
      </c>
      <c r="BV39" s="222"/>
      <c r="BW39" s="532">
        <f>Q39</f>
        <v>49465.516058798377</v>
      </c>
      <c r="BX39" s="492">
        <f>Q39</f>
        <v>49465.516058798377</v>
      </c>
      <c r="BY39" s="492">
        <f>Q39</f>
        <v>49465.516058798377</v>
      </c>
      <c r="BZ39" s="492">
        <f t="shared" si="107"/>
        <v>148396.54817639512</v>
      </c>
      <c r="CA39" s="222"/>
      <c r="CB39" s="532">
        <f>R39</f>
        <v>78574.379366383931</v>
      </c>
      <c r="CC39" s="492">
        <f>R39</f>
        <v>78574.379366383931</v>
      </c>
      <c r="CD39" s="492">
        <f>R39</f>
        <v>78574.379366383931</v>
      </c>
      <c r="CE39" s="492">
        <f t="shared" si="108"/>
        <v>235723.13809915178</v>
      </c>
      <c r="CF39" s="222"/>
      <c r="CG39" s="532">
        <f>S39</f>
        <v>125802.15749858312</v>
      </c>
      <c r="CH39" s="492">
        <f>S39</f>
        <v>125802.15749858312</v>
      </c>
      <c r="CI39" s="492">
        <f>S39</f>
        <v>125802.15749858312</v>
      </c>
      <c r="CJ39" s="492">
        <f t="shared" si="109"/>
        <v>377406.47249574936</v>
      </c>
      <c r="CK39" s="222"/>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row>
    <row r="40" spans="1:179" s="57" customFormat="1" ht="9.75" customHeight="1" x14ac:dyDescent="0.15">
      <c r="A40" s="488" t="s">
        <v>194</v>
      </c>
      <c r="B40" s="145">
        <v>0.25</v>
      </c>
      <c r="C40" s="126">
        <v>0</v>
      </c>
      <c r="D40" s="291"/>
      <c r="E40" s="624"/>
      <c r="F40" s="226">
        <v>0</v>
      </c>
      <c r="G40" s="492">
        <f>IF(IF(F49&gt;0,F49*((0*(IF(ISBLANK(E40),C40,E40)))+(IF(ISBLANK(D40),B40,D40))),0)&lt;0,0,IF(F49&gt;0,F49*((0*(IF(ISBLANK(E40),C40,E40)))+(IF(ISBLANK(D40),B40,D40))),0))/3</f>
        <v>0</v>
      </c>
      <c r="H40" s="492">
        <f>IF(IF(G49&gt;0,G49*((0*(IF(ISBLANK(E40),C40,E40)))+(IF(ISBLANK(D40),B40,D40))),0)&lt;0,0,IF(G49&gt;0,G49*((0*(IF(ISBLANK(E40),C40,E40)))+(IF(ISBLANK(D40),B40,D40))),0))/3</f>
        <v>0</v>
      </c>
      <c r="I40" s="492">
        <f>IF(IF(H49&gt;0,H49*((1*(IF(ISBLANK(E40),C40,E40)))+(IF(ISBLANK(D40),B40,D40))),0)&lt;0,0,IF(H49&gt;0,H49*((1*(IF(ISBLANK(E40),C40,E40)))+(IF(ISBLANK(D40),B40,D40))),0))/3</f>
        <v>0</v>
      </c>
      <c r="J40" s="217">
        <f t="shared" si="110"/>
        <v>0</v>
      </c>
      <c r="K40" s="492">
        <f>IF(IF(I49&gt;0,I49*((2*(IF(ISBLANK(E40),C40,E40)))+(IF(ISBLANK(D40),B40,D40))),0)&lt;0,0,IF(I49&gt;0,I49*((2*(IF(ISBLANK(E40),C40,E40)))+(IF(ISBLANK(D40),B40,D40))),0))/3</f>
        <v>0</v>
      </c>
      <c r="L40" s="492">
        <f>IF(IF(K49&gt;0,K49*((3*(IF(ISBLANK(E40),C40,E40)))+(IF(ISBLANK(D40),B40,D40))),0)&lt;0,0,IF(K49&gt;0,K49*((3*(IF(ISBLANK(E40),C40,E40)))+(IF(ISBLANK(D40),B40,D40))),0))/3</f>
        <v>0</v>
      </c>
      <c r="M40" s="492">
        <f>IF(IF(L49&gt;0,L49*((4*(IF(ISBLANK(E40),C40,E40)))+(IF(ISBLANK(D40),B40,D40))),0)&lt;0,0,IF(L49&gt;0,L49*((4*(IF(ISBLANK(E40),C40,E40)))+(IF(ISBLANK(D40),B40,D40))),0))/3</f>
        <v>0</v>
      </c>
      <c r="N40" s="492">
        <f>IF(IF(M49&gt;0,M49*((5*(IF(ISBLANK(E40),C40,E40)))+(IF(ISBLANK(D40),B40,D40))),0)&lt;0,0,IF(M49&gt;0,M49*((5*(IF(ISBLANK(E40),C40,E40)))+(IF(ISBLANK(D40),B40,D40))),0))/3</f>
        <v>0</v>
      </c>
      <c r="O40" s="217">
        <f t="shared" si="111"/>
        <v>0</v>
      </c>
      <c r="P40" s="492">
        <f>IF(IF(N49&gt;0,N49*((6*(IF(ISBLANK(E40),C40,E40)))+(IF(ISBLANK(D40),B40,D40))),0)&lt;0,0,IF(N49&gt;0,N49*((6*(IF(ISBLANK(E40),C40,E40)))+(IF(ISBLANK(D40),B40,D40))),0))/3</f>
        <v>591.46001559250965</v>
      </c>
      <c r="Q40" s="492">
        <f>IF(IF(P49&gt;0,P49*((7*(IF(ISBLANK(E40),C40,E40)))+(IF(ISBLANK(D40),B40,D40))),0)&lt;0,0,IF(P49&gt;0,P49*((7*(IF(ISBLANK(E40),C40,E40)))+(IF(ISBLANK(D40),B40,D40))),0))/3</f>
        <v>8689.3798035052514</v>
      </c>
      <c r="R40" s="492">
        <f>IF(IF(Q49&gt;0,Q49*((8*(IF(ISBLANK(E40),C40,E40)))+(IF(ISBLANK(D40),B40,D40))),0)&lt;0,0,IF(Q49&gt;0,Q49*((8*(IF(ISBLANK(E40),C40,E40)))+(IF(ISBLANK(D40),B40,D40))),0))/3</f>
        <v>21444.066892469225</v>
      </c>
      <c r="S40" s="492">
        <f>IF(IF(R49&gt;0,R49*((9*(IF(ISBLANK(E40),C40,E40)))+(IF(ISBLANK(D40),B40,D40))),0)&lt;0,0,IF(R49&gt;0,R49*((9*(IF(ISBLANK(E40),C40,E40)))+(IF(ISBLANK(D40),B40,D40))),0))/3</f>
        <v>44984.206998011759</v>
      </c>
      <c r="T40" s="218">
        <f t="shared" si="112"/>
        <v>227127.34112873621</v>
      </c>
      <c r="U40" s="221"/>
      <c r="V40" s="239">
        <f>SUM(IF(S49&lt;0,0,S49*((10*(IF(ISBLANK(E40),C40,E40)))+(IF(ISBLANK(D40),B40,D40)))))</f>
        <v>260346.99572517874</v>
      </c>
      <c r="W40" s="217">
        <f>SUM(IF(V49&lt;0,0,V49*((11*(IF(ISBLANK(E40),C40,E40)))+(IF(ISBLANK(D40),B40,D40)))))</f>
        <v>2142328.9005953977</v>
      </c>
      <c r="X40" s="242">
        <f>SUM(IF(W49&lt;0,0,W49*((12*(IF(ISBLANK(E40),C40,E40)))+(IF(ISBLANK(D40),B40,D40)))))</f>
        <v>10432970.109823262</v>
      </c>
      <c r="Y40" s="221"/>
      <c r="Z40" s="578">
        <v>0</v>
      </c>
      <c r="AA40" s="617"/>
      <c r="AB40" s="532">
        <f>F40</f>
        <v>0</v>
      </c>
      <c r="AC40" s="492">
        <f>F40</f>
        <v>0</v>
      </c>
      <c r="AD40" s="492">
        <f>F40</f>
        <v>0</v>
      </c>
      <c r="AE40" s="492">
        <f t="shared" si="98"/>
        <v>0</v>
      </c>
      <c r="AF40" s="222"/>
      <c r="AG40" s="532">
        <f>G40</f>
        <v>0</v>
      </c>
      <c r="AH40" s="492">
        <f>G40</f>
        <v>0</v>
      </c>
      <c r="AI40" s="492">
        <f>G40</f>
        <v>0</v>
      </c>
      <c r="AJ40" s="492">
        <f t="shared" si="99"/>
        <v>0</v>
      </c>
      <c r="AK40" s="222"/>
      <c r="AL40" s="532">
        <f>H40</f>
        <v>0</v>
      </c>
      <c r="AM40" s="492">
        <f>H40</f>
        <v>0</v>
      </c>
      <c r="AN40" s="492">
        <f>H40</f>
        <v>0</v>
      </c>
      <c r="AO40" s="492">
        <f t="shared" si="100"/>
        <v>0</v>
      </c>
      <c r="AP40" s="222"/>
      <c r="AQ40" s="532">
        <f>I40</f>
        <v>0</v>
      </c>
      <c r="AR40" s="492">
        <f>I40</f>
        <v>0</v>
      </c>
      <c r="AS40" s="492">
        <f>I40</f>
        <v>0</v>
      </c>
      <c r="AT40" s="492">
        <f t="shared" si="101"/>
        <v>0</v>
      </c>
      <c r="AU40" s="222"/>
      <c r="AV40" s="617"/>
      <c r="AW40" s="532">
        <f>K40</f>
        <v>0</v>
      </c>
      <c r="AX40" s="492">
        <f>K40</f>
        <v>0</v>
      </c>
      <c r="AY40" s="492">
        <f>K40</f>
        <v>0</v>
      </c>
      <c r="AZ40" s="492">
        <f t="shared" si="102"/>
        <v>0</v>
      </c>
      <c r="BA40" s="222"/>
      <c r="BB40" s="532">
        <f>L40</f>
        <v>0</v>
      </c>
      <c r="BC40" s="492">
        <f>L40</f>
        <v>0</v>
      </c>
      <c r="BD40" s="492">
        <f>L40</f>
        <v>0</v>
      </c>
      <c r="BE40" s="492">
        <f t="shared" si="103"/>
        <v>0</v>
      </c>
      <c r="BF40" s="222"/>
      <c r="BG40" s="532">
        <f>M40</f>
        <v>0</v>
      </c>
      <c r="BH40" s="492">
        <f>M40</f>
        <v>0</v>
      </c>
      <c r="BI40" s="492">
        <f>M40</f>
        <v>0</v>
      </c>
      <c r="BJ40" s="492">
        <f t="shared" si="104"/>
        <v>0</v>
      </c>
      <c r="BK40" s="222"/>
      <c r="BL40" s="532">
        <f>N40</f>
        <v>0</v>
      </c>
      <c r="BM40" s="492">
        <f>N40</f>
        <v>0</v>
      </c>
      <c r="BN40" s="492">
        <f>N40</f>
        <v>0</v>
      </c>
      <c r="BO40" s="492">
        <f t="shared" si="105"/>
        <v>0</v>
      </c>
      <c r="BP40" s="222"/>
      <c r="BQ40" s="221"/>
      <c r="BR40" s="532">
        <f>P40</f>
        <v>591.46001559250965</v>
      </c>
      <c r="BS40" s="492">
        <f>P40</f>
        <v>591.46001559250965</v>
      </c>
      <c r="BT40" s="492">
        <f>P40</f>
        <v>591.46001559250965</v>
      </c>
      <c r="BU40" s="492">
        <f t="shared" si="106"/>
        <v>1774.3800467775291</v>
      </c>
      <c r="BV40" s="222"/>
      <c r="BW40" s="532">
        <f>Q40</f>
        <v>8689.3798035052514</v>
      </c>
      <c r="BX40" s="492">
        <f>Q40</f>
        <v>8689.3798035052514</v>
      </c>
      <c r="BY40" s="492">
        <f>Q40</f>
        <v>8689.3798035052514</v>
      </c>
      <c r="BZ40" s="492">
        <f t="shared" si="107"/>
        <v>26068.139410515752</v>
      </c>
      <c r="CA40" s="222"/>
      <c r="CB40" s="532">
        <f>R40</f>
        <v>21444.066892469225</v>
      </c>
      <c r="CC40" s="492">
        <f>R40</f>
        <v>21444.066892469225</v>
      </c>
      <c r="CD40" s="492">
        <f>R40</f>
        <v>21444.066892469225</v>
      </c>
      <c r="CE40" s="492">
        <f t="shared" si="108"/>
        <v>64332.200677407673</v>
      </c>
      <c r="CF40" s="222"/>
      <c r="CG40" s="532">
        <f>S40</f>
        <v>44984.206998011759</v>
      </c>
      <c r="CH40" s="492">
        <f>S40</f>
        <v>44984.206998011759</v>
      </c>
      <c r="CI40" s="492">
        <f>S40</f>
        <v>44984.206998011759</v>
      </c>
      <c r="CJ40" s="492">
        <f t="shared" si="109"/>
        <v>134952.62099403527</v>
      </c>
      <c r="CK40" s="222"/>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row>
    <row r="41" spans="1:179" s="57" customFormat="1" ht="9.75" customHeight="1" x14ac:dyDescent="0.15">
      <c r="A41" s="488" t="s">
        <v>195</v>
      </c>
      <c r="B41" s="239">
        <v>2500</v>
      </c>
      <c r="C41" s="218">
        <v>750</v>
      </c>
      <c r="D41" s="228"/>
      <c r="E41" s="229"/>
      <c r="F41" s="491">
        <f>IF(ISBLANK(D41),B41,D41)</f>
        <v>2500</v>
      </c>
      <c r="G41" s="492">
        <f>SUM((IF(F49&gt;0,IF(ISBLANK(E41),C41,E41),0)+F41))</f>
        <v>2500</v>
      </c>
      <c r="H41" s="492">
        <f>SUM((IF(G49&gt;0,IF(ISBLANK(E41),C41,E41),0)+G41))</f>
        <v>2500</v>
      </c>
      <c r="I41" s="492">
        <f>SUM((IF(H49&gt;0,IF(ISBLANK(E41),C41,E41),0)+H41))</f>
        <v>2500</v>
      </c>
      <c r="J41" s="217">
        <f t="shared" si="110"/>
        <v>30000</v>
      </c>
      <c r="K41" s="492">
        <f>SUM((IF(I49&gt;0,IF(ISBLANK(E41),C41,E41),0)+I41))</f>
        <v>2500</v>
      </c>
      <c r="L41" s="492">
        <f>SUM((IF(K49&gt;0,IF(ISBLANK(E41),C41,E41),0)+K41))</f>
        <v>2500</v>
      </c>
      <c r="M41" s="492">
        <f>SUM((IF(L49&gt;0,IF(ISBLANK(E41),C41,E41),0)+L41))</f>
        <v>2500</v>
      </c>
      <c r="N41" s="492">
        <f>SUM((IF(M49&gt;0,IF(ISBLANK(E41),C41,E41),0)+M41))</f>
        <v>2500</v>
      </c>
      <c r="O41" s="217">
        <f t="shared" si="111"/>
        <v>30000</v>
      </c>
      <c r="P41" s="492">
        <f>SUM((IF(N49&gt;0,IF(ISBLANK(E41),C41,E41),0)+N41))</f>
        <v>3250</v>
      </c>
      <c r="Q41" s="492">
        <f>SUM((IF(P49&gt;0,IF(ISBLANK(E41),C41,E41),0)+P41))</f>
        <v>4000</v>
      </c>
      <c r="R41" s="492">
        <f>SUM((IF(Q49&gt;0,IF(ISBLANK(E41),C41,E41),0)+Q41))</f>
        <v>4750</v>
      </c>
      <c r="S41" s="492">
        <f>SUM((IF(R49&gt;0,IF(ISBLANK(E41),C41,E41),0)+R41))</f>
        <v>5500</v>
      </c>
      <c r="T41" s="218">
        <f t="shared" si="112"/>
        <v>52500</v>
      </c>
      <c r="U41" s="221"/>
      <c r="V41" s="239">
        <f>SUM((IF(S49&gt;0,IF(ISBLANK(E41),C41,E41),0)+S41))</f>
        <v>6250</v>
      </c>
      <c r="W41" s="217">
        <f>SUM((IF(V49&gt;0,IF(ISBLANK(E41),C41,E41),0)+V41))</f>
        <v>7000</v>
      </c>
      <c r="X41" s="242">
        <f>SUM((IF(W49&gt;0,IF(ISBLANK(E41),C41,E41),0)+W41))</f>
        <v>7750</v>
      </c>
      <c r="Y41" s="221"/>
      <c r="Z41" s="578">
        <v>55000</v>
      </c>
      <c r="AA41" s="617"/>
      <c r="AB41" s="532">
        <f t="shared" si="113"/>
        <v>2500</v>
      </c>
      <c r="AC41" s="492">
        <f t="shared" si="114"/>
        <v>2500</v>
      </c>
      <c r="AD41" s="492">
        <f t="shared" si="115"/>
        <v>2500</v>
      </c>
      <c r="AE41" s="492">
        <f t="shared" si="98"/>
        <v>7500</v>
      </c>
      <c r="AF41" s="222"/>
      <c r="AG41" s="532">
        <f t="shared" si="116"/>
        <v>2500</v>
      </c>
      <c r="AH41" s="492">
        <f>G41</f>
        <v>2500</v>
      </c>
      <c r="AI41" s="492">
        <f>G41</f>
        <v>2500</v>
      </c>
      <c r="AJ41" s="492">
        <f t="shared" si="99"/>
        <v>7500</v>
      </c>
      <c r="AK41" s="222"/>
      <c r="AL41" s="532">
        <f>H41</f>
        <v>2500</v>
      </c>
      <c r="AM41" s="492">
        <f>H41</f>
        <v>2500</v>
      </c>
      <c r="AN41" s="492">
        <f>H41</f>
        <v>2500</v>
      </c>
      <c r="AO41" s="492">
        <f t="shared" si="100"/>
        <v>7500</v>
      </c>
      <c r="AP41" s="222"/>
      <c r="AQ41" s="532">
        <f t="shared" si="122"/>
        <v>2500</v>
      </c>
      <c r="AR41" s="492">
        <f t="shared" si="123"/>
        <v>2500</v>
      </c>
      <c r="AS41" s="492">
        <f t="shared" si="124"/>
        <v>2500</v>
      </c>
      <c r="AT41" s="492">
        <f t="shared" si="101"/>
        <v>7500</v>
      </c>
      <c r="AU41" s="222"/>
      <c r="AV41" s="617"/>
      <c r="AW41" s="532">
        <f t="shared" si="125"/>
        <v>2500</v>
      </c>
      <c r="AX41" s="492">
        <f t="shared" si="126"/>
        <v>2500</v>
      </c>
      <c r="AY41" s="492">
        <f t="shared" si="127"/>
        <v>2500</v>
      </c>
      <c r="AZ41" s="492">
        <f t="shared" si="102"/>
        <v>7500</v>
      </c>
      <c r="BA41" s="222"/>
      <c r="BB41" s="532">
        <f t="shared" si="128"/>
        <v>2500</v>
      </c>
      <c r="BC41" s="492">
        <f t="shared" si="129"/>
        <v>2500</v>
      </c>
      <c r="BD41" s="492">
        <f t="shared" si="130"/>
        <v>2500</v>
      </c>
      <c r="BE41" s="492">
        <f t="shared" si="103"/>
        <v>7500</v>
      </c>
      <c r="BF41" s="222"/>
      <c r="BG41" s="532">
        <f t="shared" si="131"/>
        <v>2500</v>
      </c>
      <c r="BH41" s="492">
        <f t="shared" si="132"/>
        <v>2500</v>
      </c>
      <c r="BI41" s="492">
        <f t="shared" si="133"/>
        <v>2500</v>
      </c>
      <c r="BJ41" s="492">
        <f t="shared" si="104"/>
        <v>7500</v>
      </c>
      <c r="BK41" s="222"/>
      <c r="BL41" s="532">
        <f>N41</f>
        <v>2500</v>
      </c>
      <c r="BM41" s="492">
        <f t="shared" si="135"/>
        <v>2500</v>
      </c>
      <c r="BN41" s="492">
        <f t="shared" si="136"/>
        <v>2500</v>
      </c>
      <c r="BO41" s="492">
        <f t="shared" si="105"/>
        <v>7500</v>
      </c>
      <c r="BP41" s="222"/>
      <c r="BQ41" s="221"/>
      <c r="BR41" s="532">
        <f t="shared" si="137"/>
        <v>3250</v>
      </c>
      <c r="BS41" s="492">
        <f t="shared" si="138"/>
        <v>3250</v>
      </c>
      <c r="BT41" s="492">
        <f t="shared" si="139"/>
        <v>3250</v>
      </c>
      <c r="BU41" s="492">
        <f t="shared" si="106"/>
        <v>9750</v>
      </c>
      <c r="BV41" s="222"/>
      <c r="BW41" s="532">
        <f t="shared" si="140"/>
        <v>4000</v>
      </c>
      <c r="BX41" s="492">
        <f t="shared" si="141"/>
        <v>4000</v>
      </c>
      <c r="BY41" s="492">
        <f t="shared" si="142"/>
        <v>4000</v>
      </c>
      <c r="BZ41" s="492">
        <f t="shared" si="107"/>
        <v>12000</v>
      </c>
      <c r="CA41" s="222"/>
      <c r="CB41" s="532">
        <f t="shared" si="143"/>
        <v>4750</v>
      </c>
      <c r="CC41" s="492">
        <f t="shared" si="144"/>
        <v>4750</v>
      </c>
      <c r="CD41" s="492">
        <f t="shared" si="145"/>
        <v>4750</v>
      </c>
      <c r="CE41" s="492">
        <f t="shared" si="108"/>
        <v>14250</v>
      </c>
      <c r="CF41" s="222"/>
      <c r="CG41" s="532">
        <f t="shared" si="146"/>
        <v>5500</v>
      </c>
      <c r="CH41" s="492">
        <f t="shared" si="147"/>
        <v>5500</v>
      </c>
      <c r="CI41" s="492">
        <f t="shared" si="148"/>
        <v>5500</v>
      </c>
      <c r="CJ41" s="492">
        <f t="shared" si="109"/>
        <v>16500</v>
      </c>
      <c r="CK41" s="222"/>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row>
    <row r="42" spans="1:179" s="57" customFormat="1" ht="9.75" customHeight="1" x14ac:dyDescent="0.15">
      <c r="A42" s="488" t="s">
        <v>196</v>
      </c>
      <c r="B42" s="239">
        <v>2000</v>
      </c>
      <c r="C42" s="214">
        <v>0.01</v>
      </c>
      <c r="D42" s="228"/>
      <c r="E42" s="225"/>
      <c r="F42" s="491">
        <f>SUM((IF(ISBLANK(D42),B42,D42))+(IF(ISBLANK(E42),C42,E42)*F18))</f>
        <v>2021.4521407384641</v>
      </c>
      <c r="G42" s="492">
        <f>SUM((IF(ISBLANK(D42),B42,D42))+(IF(ISBLANK(E42),C42,E42)*G18))</f>
        <v>2051.1901415290749</v>
      </c>
      <c r="H42" s="492">
        <f>SUM((IF(ISBLANK(D42),B42,D42))+(IF(ISBLANK(E42),C42,E42)*H18))</f>
        <v>2197.5474821641124</v>
      </c>
      <c r="I42" s="492">
        <f>SUM((IF(ISBLANK(D42),B42,D42))+(IF(ISBLANK(E42),C42,E42)*I18))</f>
        <v>2335.8500212809558</v>
      </c>
      <c r="J42" s="217">
        <f t="shared" si="110"/>
        <v>25818.119357137821</v>
      </c>
      <c r="K42" s="492">
        <f>SUM((IF(ISBLANK(D42),B42,D42))+(IF(ISBLANK(E42),C42,E42)*K18))</f>
        <v>2459.8997296633361</v>
      </c>
      <c r="L42" s="492">
        <f>SUM((IF(ISBLANK(D42),B42,D42))+(IF(ISBLANK(E42),C42,E42)*L18))</f>
        <v>2610.8563428819662</v>
      </c>
      <c r="M42" s="492">
        <f>SUM((IF(ISBLANK(D42),B42,D42))+(IF(ISBLANK(E42),C42,E42)*M18))</f>
        <v>2785.1826774362016</v>
      </c>
      <c r="N42" s="492">
        <f>SUM((IF(ISBLANK(D42),B42,D42))+(IF(ISBLANK(E42),C42,E42)*N18))</f>
        <v>3042.889429639446</v>
      </c>
      <c r="O42" s="217">
        <f t="shared" si="111"/>
        <v>32696.484538862846</v>
      </c>
      <c r="P42" s="492">
        <f>SUM((IF(ISBLANK(D42),B42,D42))+(IF(ISBLANK(E42),C42,E42)*P18))</f>
        <v>3420.7864691439609</v>
      </c>
      <c r="Q42" s="492">
        <f>SUM((IF(ISBLANK(D42),B42,D42))+(IF(ISBLANK(E42),C42,E42)*Q18))</f>
        <v>3981.9899301344121</v>
      </c>
      <c r="R42" s="492">
        <f>SUM((IF(ISBLANK(D42),B42,D42))+(IF(ISBLANK(E42),C42,E42)*R18))</f>
        <v>4833.6738288871147</v>
      </c>
      <c r="S42" s="492">
        <f>SUM((IF(ISBLANK(D42),B42,D42))+(IF(ISBLANK(E42),C42,E42)*S18))</f>
        <v>6154.9386781715839</v>
      </c>
      <c r="T42" s="218">
        <f t="shared" si="112"/>
        <v>55174.16671901122</v>
      </c>
      <c r="U42" s="221"/>
      <c r="V42" s="239">
        <f>SUM((IF(ISBLANK(D42),B42,D42))+(IF(ISBLANK(E42),C42,E42)*V18))*12</f>
        <v>133123.83159607011</v>
      </c>
      <c r="W42" s="217">
        <f>SUM((IF(ISBLANK(D42),B42,D42))+(IF(ISBLANK(E42),C42,E42)*W18))*12</f>
        <v>376221.82682475832</v>
      </c>
      <c r="X42" s="242">
        <f>SUM((IF(ISBLANK(D42),B42,D42))+(IF(ISBLANK(E42),C42,E42)*X18))*12</f>
        <v>713790.96864849213</v>
      </c>
      <c r="Y42" s="221"/>
      <c r="Z42" s="578">
        <f>SUM(10105+7000)</f>
        <v>17105</v>
      </c>
      <c r="AA42" s="617"/>
      <c r="AB42" s="532">
        <f t="shared" si="113"/>
        <v>2021.4521407384641</v>
      </c>
      <c r="AC42" s="492">
        <f t="shared" si="114"/>
        <v>2021.4521407384641</v>
      </c>
      <c r="AD42" s="492">
        <f t="shared" si="115"/>
        <v>2021.4521407384641</v>
      </c>
      <c r="AE42" s="492">
        <f t="shared" si="98"/>
        <v>6064.3564222153927</v>
      </c>
      <c r="AF42" s="222"/>
      <c r="AG42" s="532">
        <f t="shared" si="116"/>
        <v>2051.1901415290749</v>
      </c>
      <c r="AH42" s="492">
        <f t="shared" si="117"/>
        <v>2051.1901415290749</v>
      </c>
      <c r="AI42" s="492">
        <f t="shared" si="118"/>
        <v>2051.1901415290749</v>
      </c>
      <c r="AJ42" s="492">
        <f t="shared" si="99"/>
        <v>6153.5704245872248</v>
      </c>
      <c r="AK42" s="222"/>
      <c r="AL42" s="532">
        <f t="shared" si="119"/>
        <v>2197.5474821641124</v>
      </c>
      <c r="AM42" s="492">
        <f t="shared" si="120"/>
        <v>2197.5474821641124</v>
      </c>
      <c r="AN42" s="492">
        <f t="shared" si="121"/>
        <v>2197.5474821641124</v>
      </c>
      <c r="AO42" s="492">
        <f t="shared" si="100"/>
        <v>6592.6424464923366</v>
      </c>
      <c r="AP42" s="222"/>
      <c r="AQ42" s="532">
        <f t="shared" si="122"/>
        <v>2335.8500212809558</v>
      </c>
      <c r="AR42" s="492">
        <f t="shared" si="123"/>
        <v>2335.8500212809558</v>
      </c>
      <c r="AS42" s="492">
        <f t="shared" si="124"/>
        <v>2335.8500212809558</v>
      </c>
      <c r="AT42" s="492">
        <f t="shared" si="101"/>
        <v>7007.5500638428675</v>
      </c>
      <c r="AU42" s="222"/>
      <c r="AV42" s="617"/>
      <c r="AW42" s="532">
        <f t="shared" si="125"/>
        <v>2459.8997296633361</v>
      </c>
      <c r="AX42" s="492">
        <f t="shared" si="126"/>
        <v>2459.8997296633361</v>
      </c>
      <c r="AY42" s="492">
        <f t="shared" si="127"/>
        <v>2459.8997296633361</v>
      </c>
      <c r="AZ42" s="492">
        <f t="shared" si="102"/>
        <v>7379.6991889900082</v>
      </c>
      <c r="BA42" s="222"/>
      <c r="BB42" s="532">
        <f t="shared" si="128"/>
        <v>2610.8563428819662</v>
      </c>
      <c r="BC42" s="492">
        <f t="shared" si="129"/>
        <v>2610.8563428819662</v>
      </c>
      <c r="BD42" s="492">
        <f t="shared" si="130"/>
        <v>2610.8563428819662</v>
      </c>
      <c r="BE42" s="492">
        <f t="shared" si="103"/>
        <v>7832.5690286458985</v>
      </c>
      <c r="BF42" s="222"/>
      <c r="BG42" s="532">
        <f t="shared" si="131"/>
        <v>2785.1826774362016</v>
      </c>
      <c r="BH42" s="492">
        <f t="shared" si="132"/>
        <v>2785.1826774362016</v>
      </c>
      <c r="BI42" s="492">
        <f t="shared" si="133"/>
        <v>2785.1826774362016</v>
      </c>
      <c r="BJ42" s="492">
        <f t="shared" si="104"/>
        <v>8355.5480323086049</v>
      </c>
      <c r="BK42" s="222"/>
      <c r="BL42" s="532">
        <f t="shared" si="134"/>
        <v>3042.889429639446</v>
      </c>
      <c r="BM42" s="492">
        <f t="shared" si="135"/>
        <v>3042.889429639446</v>
      </c>
      <c r="BN42" s="492">
        <f t="shared" si="136"/>
        <v>3042.889429639446</v>
      </c>
      <c r="BO42" s="492">
        <f t="shared" si="105"/>
        <v>9128.6682889183376</v>
      </c>
      <c r="BP42" s="222"/>
      <c r="BQ42" s="221"/>
      <c r="BR42" s="532">
        <f t="shared" si="137"/>
        <v>3420.7864691439609</v>
      </c>
      <c r="BS42" s="492">
        <f t="shared" si="138"/>
        <v>3420.7864691439609</v>
      </c>
      <c r="BT42" s="492">
        <f t="shared" si="139"/>
        <v>3420.7864691439609</v>
      </c>
      <c r="BU42" s="492">
        <f t="shared" si="106"/>
        <v>10262.359407431883</v>
      </c>
      <c r="BV42" s="222"/>
      <c r="BW42" s="532">
        <f t="shared" si="140"/>
        <v>3981.9899301344121</v>
      </c>
      <c r="BX42" s="492">
        <f t="shared" si="141"/>
        <v>3981.9899301344121</v>
      </c>
      <c r="BY42" s="492">
        <f t="shared" si="142"/>
        <v>3981.9899301344121</v>
      </c>
      <c r="BZ42" s="492">
        <f t="shared" si="107"/>
        <v>11945.969790403236</v>
      </c>
      <c r="CA42" s="222"/>
      <c r="CB42" s="532">
        <f t="shared" si="143"/>
        <v>4833.6738288871147</v>
      </c>
      <c r="CC42" s="492">
        <f t="shared" si="144"/>
        <v>4833.6738288871147</v>
      </c>
      <c r="CD42" s="492">
        <f t="shared" si="145"/>
        <v>4833.6738288871147</v>
      </c>
      <c r="CE42" s="492">
        <f t="shared" si="108"/>
        <v>14501.021486661344</v>
      </c>
      <c r="CF42" s="222"/>
      <c r="CG42" s="532">
        <f t="shared" si="146"/>
        <v>6154.9386781715839</v>
      </c>
      <c r="CH42" s="492">
        <f t="shared" si="147"/>
        <v>6154.9386781715839</v>
      </c>
      <c r="CI42" s="492">
        <f t="shared" si="148"/>
        <v>6154.9386781715839</v>
      </c>
      <c r="CJ42" s="492">
        <f t="shared" si="109"/>
        <v>18464.816034514752</v>
      </c>
      <c r="CK42" s="222"/>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row>
    <row r="43" spans="1:179" s="57" customFormat="1" ht="9.75" customHeight="1" x14ac:dyDescent="0.15">
      <c r="A43" s="488" t="s">
        <v>197</v>
      </c>
      <c r="B43" s="145">
        <v>0.05</v>
      </c>
      <c r="C43" s="126">
        <v>-6.0000000000000001E-3</v>
      </c>
      <c r="D43" s="291"/>
      <c r="E43" s="624"/>
      <c r="F43" s="226">
        <v>10000</v>
      </c>
      <c r="G43" s="227">
        <v>10000</v>
      </c>
      <c r="H43" s="492">
        <f>SUM((IF(ISBLANK(D43),B43,D43)*(H30/3))+(G43))</f>
        <v>10222.909421974044</v>
      </c>
      <c r="I43" s="491">
        <f>SUM(IF(ISBLANK(D43),      (IF((1*(IF(ISBLANK(E43),C43,E43)) + B43) &lt; 0,     0,     (1*(IF(ISBLANK(E43),C43,E43)) + B43)   )),       (IF((1*(IF(ISBLANK(E43),C43,E43)) + D43) &lt; 0,     0,     (1*(IF(ISBLANK(E43),C43,E43)) + D43)   ))  )       *   (I30/3)+(H43))</f>
        <v>11002.232657151695</v>
      </c>
      <c r="J43" s="217">
        <f t="shared" si="110"/>
        <v>123675.42623737722</v>
      </c>
      <c r="K43" s="492">
        <f>SUM(IF(ISBLANK(D43),      (IF((2*(IF(ISBLANK(E43),C43,E43)) + B43) &lt; 0,     0,     (2*(IF(ISBLANK(E43),C43,E43)) + B43)   )),       (IF((2*(IF(ISBLANK(E43),C43,E43)) + D43) &lt; 0,     0,     (2*(IF(ISBLANK(E43),C43,E43)) + D43)   ))  )       *   (K30/3)+(I43))</f>
        <v>12261.497587476226</v>
      </c>
      <c r="L43" s="492">
        <f>SUM(IF(ISBLANK(D43),      (IF((3*(IF(ISBLANK(E43),C43,E43)) + B43) &lt; 0,     0,     (3*(IF(ISBLANK(E43),C43,E43)) + B43)   )),       (IF((3*(IF(ISBLANK(E43),C43,E43)) + D43) &lt; 0,     0,     (3*(IF(ISBLANK(E43),C43,E43)) + D43)   ))  )       *   (L30/3)+(K43))</f>
        <v>14184.042655727009</v>
      </c>
      <c r="M43" s="492">
        <f>SUM(IF(ISBLANK(D43),      (IF((4*(IF(ISBLANK(E43),C43,E43)) + B43) &lt; 0,     0,     (4*(IF(ISBLANK(E43),C43,E43)) + B43)   )),       (IF((4*(IF(ISBLANK(E43),C43,E43)) + D43) &lt; 0,     0,     (4*(IF(ISBLANK(E43),C43,E43)) + D43)   ))  )       *   (M30/3)+(L43))</f>
        <v>16738.684870927777</v>
      </c>
      <c r="N43" s="492">
        <f>SUM(IF(ISBLANK(D43),      (IF((5*(IF(ISBLANK(E43),C43,E43)) + B43) &lt; 0,     0,     (5*(IF(ISBLANK(E43),C43,E43)) + B43)   )),       (IF((5*(IF(ISBLANK(E43),C43,E43)) + D43) &lt; 0,     0,     (5*(IF(ISBLANK(E43),C43,E43)) + D43)   ))  )       *   (N30/3)+(M43))</f>
        <v>19860.346785493246</v>
      </c>
      <c r="O43" s="217">
        <f t="shared" si="111"/>
        <v>189133.71569887278</v>
      </c>
      <c r="P43" s="492">
        <f>SUM(IF(ISBLANK(D43),      (IF((6*(IF(ISBLANK(E43),C43,E43)) + B43) &lt; 0,     0,     (6*(IF(ISBLANK(E43),C43,E43)) + B43)   )),       (IF((6*(IF(ISBLANK(E43),C43,E43)) + D43) &lt; 0,     0,     (6*(IF(ISBLANK(E43),C43,E43)) + D43)   ))  )       *   (P30/3)+(N43))</f>
        <v>23322.932909609131</v>
      </c>
      <c r="Q43" s="492">
        <f>SUM(IF(ISBLANK(D43),      (IF((7*(IF(ISBLANK(E43),C43,E43)) + B43) &lt; 0,     0,     (7*(IF(ISBLANK(E43),C43,E43)) + B43)   )),       (IF((7*(IF(ISBLANK(E43),C43,E43)) + D43) &lt; 0,     0,     (7*(IF(ISBLANK(E43),C43,E43)) + D43)   ))  )       *   (Q30/3)+(P43))</f>
        <v>26465.908084264491</v>
      </c>
      <c r="R43" s="492">
        <f>SUM(IF(ISBLANK(D43),      (IF((8*(IF(ISBLANK(E43),C43,E43)) + B43) &lt; 0,     0,     (8*(IF(ISBLANK(E43),C43,E43)) + B43)   )),       (IF((8*(IF(ISBLANK(E43),C43,E43)) + D43) &lt; 0,     0,     (8*(IF(ISBLANK(E43),C43,E43)) + D43)   ))  )       *   (R30/3)+(Q43))</f>
        <v>27723.929659250323</v>
      </c>
      <c r="S43" s="492">
        <f>SUM(IF(ISBLANK(D43),      (IF((9*(IF(ISBLANK(E43),C43,E43)) + B43) &lt; 0,     0,     (9*(IF(ISBLANK(E43),C43,E43)) + B43)   )),       (IF((9*(IF(ISBLANK(E43),C43,E43)) + D43) &lt; 0,     0,     (9*(IF(ISBLANK(E43),C43,E43)) + D43)   ))  )       *   (S30/3)+(R43))</f>
        <v>27723.929659250323</v>
      </c>
      <c r="T43" s="218">
        <f t="shared" si="112"/>
        <v>315710.10093712283</v>
      </c>
      <c r="U43" s="221"/>
      <c r="V43" s="239">
        <f>SUM(IF(ISBLANK(D43),      (IF((10*(IF(ISBLANK(E43),C43,E43)) + B43) &lt; 0,     0,     (10*(IF(ISBLANK(E43),C43,E43)) + B43)   )),       (IF((10*(IF(ISBLANK(E43),C43,E43)) + D43) &lt; 0,     0,     (10*(IF(ISBLANK(E43),C43,E43)) + D43)   ))  )       *   (V30)+(S43))*12</f>
        <v>332687.15591100388</v>
      </c>
      <c r="W43" s="217">
        <f>SUM(IF(ISBLANK(D43),      (IF((11*(IF(ISBLANK(E43),C43,E43)) + B43) &lt; 0,     0,     (11*(IF(ISBLANK(E43),C43,E43)) + B43)   )),       (IF((11*(IF(ISBLANK(E43),C43,E43)) + D43) &lt; 0,     0,     (11*(IF(ISBLANK(E43),C43,E43)) + D43)   ))  )       *   (W30)+(V43))</f>
        <v>332687.15591100388</v>
      </c>
      <c r="X43" s="242">
        <f>SUM(IF(ISBLANK(D43),      (IF((12*(IF(ISBLANK(E43),C43,E43)) + B43) &lt; 0,     0,     (12*(IF(ISBLANK(E43),C43,E43)) + B43)   )),       (IF((12*(IF(ISBLANK(E43),C43,E43)) + D43) &lt; 0,     0,     (12*(IF(ISBLANK(E43),C43,E43)) + D43)   ))  )       *   (X30)+(W43))</f>
        <v>332687.15591100388</v>
      </c>
      <c r="Y43" s="221"/>
      <c r="Z43" s="578">
        <f>SUM(1150+61191+16520+16425+10520+4487)</f>
        <v>110293</v>
      </c>
      <c r="AA43" s="617"/>
      <c r="AB43" s="532">
        <f t="shared" si="113"/>
        <v>10000</v>
      </c>
      <c r="AC43" s="492">
        <f t="shared" si="114"/>
        <v>10000</v>
      </c>
      <c r="AD43" s="492">
        <f t="shared" si="115"/>
        <v>10000</v>
      </c>
      <c r="AE43" s="492">
        <f t="shared" si="98"/>
        <v>30000</v>
      </c>
      <c r="AF43" s="222"/>
      <c r="AG43" s="532">
        <f t="shared" si="116"/>
        <v>10000</v>
      </c>
      <c r="AH43" s="492">
        <f t="shared" si="117"/>
        <v>10000</v>
      </c>
      <c r="AI43" s="492">
        <f t="shared" si="118"/>
        <v>10000</v>
      </c>
      <c r="AJ43" s="492">
        <f t="shared" si="99"/>
        <v>30000</v>
      </c>
      <c r="AK43" s="222"/>
      <c r="AL43" s="532">
        <f t="shared" si="119"/>
        <v>10222.909421974044</v>
      </c>
      <c r="AM43" s="492">
        <f t="shared" si="120"/>
        <v>10222.909421974044</v>
      </c>
      <c r="AN43" s="492">
        <f t="shared" si="121"/>
        <v>10222.909421974044</v>
      </c>
      <c r="AO43" s="492">
        <f t="shared" si="100"/>
        <v>30668.728265922131</v>
      </c>
      <c r="AP43" s="222"/>
      <c r="AQ43" s="532">
        <f t="shared" si="122"/>
        <v>11002.232657151695</v>
      </c>
      <c r="AR43" s="492">
        <f t="shared" si="123"/>
        <v>11002.232657151695</v>
      </c>
      <c r="AS43" s="492">
        <f t="shared" si="124"/>
        <v>11002.232657151695</v>
      </c>
      <c r="AT43" s="492">
        <f t="shared" si="101"/>
        <v>33006.697971455083</v>
      </c>
      <c r="AU43" s="222"/>
      <c r="AV43" s="617"/>
      <c r="AW43" s="532">
        <f t="shared" si="125"/>
        <v>12261.497587476226</v>
      </c>
      <c r="AX43" s="492">
        <f t="shared" si="126"/>
        <v>12261.497587476226</v>
      </c>
      <c r="AY43" s="492">
        <f t="shared" si="127"/>
        <v>12261.497587476226</v>
      </c>
      <c r="AZ43" s="492">
        <f t="shared" si="102"/>
        <v>36784.492762428679</v>
      </c>
      <c r="BA43" s="222"/>
      <c r="BB43" s="532">
        <f t="shared" si="128"/>
        <v>14184.042655727009</v>
      </c>
      <c r="BC43" s="492">
        <f t="shared" si="129"/>
        <v>14184.042655727009</v>
      </c>
      <c r="BD43" s="492">
        <f t="shared" si="130"/>
        <v>14184.042655727009</v>
      </c>
      <c r="BE43" s="492">
        <f t="shared" si="103"/>
        <v>42552.127967181026</v>
      </c>
      <c r="BF43" s="222"/>
      <c r="BG43" s="532">
        <f t="shared" si="131"/>
        <v>16738.684870927777</v>
      </c>
      <c r="BH43" s="492">
        <f t="shared" si="132"/>
        <v>16738.684870927777</v>
      </c>
      <c r="BI43" s="492">
        <f t="shared" si="133"/>
        <v>16738.684870927777</v>
      </c>
      <c r="BJ43" s="492">
        <f t="shared" si="104"/>
        <v>50216.05461278333</v>
      </c>
      <c r="BK43" s="222"/>
      <c r="BL43" s="532">
        <f t="shared" si="134"/>
        <v>19860.346785493246</v>
      </c>
      <c r="BM43" s="492">
        <f t="shared" si="135"/>
        <v>19860.346785493246</v>
      </c>
      <c r="BN43" s="492">
        <f t="shared" si="136"/>
        <v>19860.346785493246</v>
      </c>
      <c r="BO43" s="492">
        <f t="shared" si="105"/>
        <v>59581.040356479738</v>
      </c>
      <c r="BP43" s="222"/>
      <c r="BQ43" s="221"/>
      <c r="BR43" s="532">
        <f t="shared" si="137"/>
        <v>23322.932909609131</v>
      </c>
      <c r="BS43" s="492">
        <f t="shared" si="138"/>
        <v>23322.932909609131</v>
      </c>
      <c r="BT43" s="492">
        <f t="shared" si="139"/>
        <v>23322.932909609131</v>
      </c>
      <c r="BU43" s="492">
        <f t="shared" si="106"/>
        <v>69968.798728827387</v>
      </c>
      <c r="BV43" s="222"/>
      <c r="BW43" s="532">
        <f t="shared" si="140"/>
        <v>26465.908084264491</v>
      </c>
      <c r="BX43" s="492">
        <f t="shared" si="141"/>
        <v>26465.908084264491</v>
      </c>
      <c r="BY43" s="492">
        <f t="shared" si="142"/>
        <v>26465.908084264491</v>
      </c>
      <c r="BZ43" s="492">
        <f t="shared" si="107"/>
        <v>79397.724252793472</v>
      </c>
      <c r="CA43" s="222"/>
      <c r="CB43" s="532">
        <f t="shared" si="143"/>
        <v>27723.929659250323</v>
      </c>
      <c r="CC43" s="492">
        <f t="shared" si="144"/>
        <v>27723.929659250323</v>
      </c>
      <c r="CD43" s="492">
        <f t="shared" si="145"/>
        <v>27723.929659250323</v>
      </c>
      <c r="CE43" s="492">
        <f t="shared" si="108"/>
        <v>83171.78897775097</v>
      </c>
      <c r="CF43" s="222"/>
      <c r="CG43" s="532">
        <f t="shared" si="146"/>
        <v>27723.929659250323</v>
      </c>
      <c r="CH43" s="492">
        <f t="shared" si="147"/>
        <v>27723.929659250323</v>
      </c>
      <c r="CI43" s="492">
        <f t="shared" si="148"/>
        <v>27723.929659250323</v>
      </c>
      <c r="CJ43" s="492">
        <f t="shared" si="109"/>
        <v>83171.78897775097</v>
      </c>
      <c r="CK43" s="222"/>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row>
    <row r="44" spans="1:179" s="57" customFormat="1" ht="9.75" customHeight="1" x14ac:dyDescent="0.15">
      <c r="A44" s="468" t="s">
        <v>198</v>
      </c>
      <c r="B44" s="300">
        <v>5</v>
      </c>
      <c r="C44" s="299">
        <v>0</v>
      </c>
      <c r="D44" s="632"/>
      <c r="E44" s="633"/>
      <c r="F44" s="215">
        <v>6</v>
      </c>
      <c r="G44" s="216">
        <v>5</v>
      </c>
      <c r="H44" s="493">
        <f>SUM((IF(ISBLANK(D44),B44,D44)))</f>
        <v>5</v>
      </c>
      <c r="I44" s="493">
        <f>SUM(H44+(IF(ISBLANK(E44),C44,E44)))</f>
        <v>5</v>
      </c>
      <c r="J44" s="219">
        <f>SUM((F44+G44+H44+I44)/4)</f>
        <v>5.25</v>
      </c>
      <c r="K44" s="493">
        <f>SUM(I44+(IF(ISBLANK(E44),C44,E44)))</f>
        <v>5</v>
      </c>
      <c r="L44" s="493">
        <f>SUM(K44+(IF(ISBLANK(E44),C44,E44)))</f>
        <v>5</v>
      </c>
      <c r="M44" s="493">
        <f>SUM(L44+(IF(ISBLANK(E44),C44,E44)))</f>
        <v>5</v>
      </c>
      <c r="N44" s="493">
        <f>SUM(M44+(IF(ISBLANK(E44),C44,E44)))</f>
        <v>5</v>
      </c>
      <c r="O44" s="219">
        <f>SUM(K44+L44+M44+N44)/4</f>
        <v>5</v>
      </c>
      <c r="P44" s="493">
        <f>SUM(N44+(IF(ISBLANK(E44),C44,E44)))</f>
        <v>5</v>
      </c>
      <c r="Q44" s="493">
        <f>SUM(P44+(IF(ISBLANK(E44),C44,E44)))</f>
        <v>5</v>
      </c>
      <c r="R44" s="493">
        <f>SUM(Q44+(IF(ISBLANK(E44),C44,E44)))</f>
        <v>5</v>
      </c>
      <c r="S44" s="493">
        <f>SUM(R44+(IF(ISBLANK(E44),C44,E44)))</f>
        <v>5</v>
      </c>
      <c r="T44" s="214">
        <f>SUM(P44+Q44+R44+S44)/4</f>
        <v>5</v>
      </c>
      <c r="U44" s="247"/>
      <c r="V44" s="213">
        <f>SUM(S44+(IF(ISBLANK(E44),C44,E44)))</f>
        <v>5</v>
      </c>
      <c r="W44" s="219">
        <f>SUM(V44+(IF(ISBLANK(E44),C44,E44)))</f>
        <v>5</v>
      </c>
      <c r="X44" s="220">
        <f>SUM(W44+(IF(ISBLANK(E44),C44,E44)))</f>
        <v>5</v>
      </c>
      <c r="Y44" s="247"/>
      <c r="Z44" s="581">
        <v>1.2</v>
      </c>
      <c r="AA44" s="619"/>
      <c r="AB44" s="495">
        <f>F44</f>
        <v>6</v>
      </c>
      <c r="AC44" s="493">
        <f>F44</f>
        <v>6</v>
      </c>
      <c r="AD44" s="493">
        <f>F44</f>
        <v>6</v>
      </c>
      <c r="AE44" s="493">
        <f>SUM((AB44+AC44+AD44)/3)</f>
        <v>6</v>
      </c>
      <c r="AF44" s="248"/>
      <c r="AG44" s="495">
        <f>G44</f>
        <v>5</v>
      </c>
      <c r="AH44" s="493">
        <f>G44</f>
        <v>5</v>
      </c>
      <c r="AI44" s="493">
        <f>G44</f>
        <v>5</v>
      </c>
      <c r="AJ44" s="493">
        <f>SUM((AG44+AH44+AI44)/3)</f>
        <v>5</v>
      </c>
      <c r="AK44" s="248"/>
      <c r="AL44" s="495">
        <f>H44</f>
        <v>5</v>
      </c>
      <c r="AM44" s="493">
        <f>H44</f>
        <v>5</v>
      </c>
      <c r="AN44" s="493">
        <f>H44</f>
        <v>5</v>
      </c>
      <c r="AO44" s="493">
        <f>SUM((AL44+AM44+AN44)/3)</f>
        <v>5</v>
      </c>
      <c r="AP44" s="248"/>
      <c r="AQ44" s="495">
        <f>I44</f>
        <v>5</v>
      </c>
      <c r="AR44" s="493">
        <f>I44</f>
        <v>5</v>
      </c>
      <c r="AS44" s="493">
        <f>I44</f>
        <v>5</v>
      </c>
      <c r="AT44" s="493">
        <f>SUM((AQ44+AR44+AS44)/3)</f>
        <v>5</v>
      </c>
      <c r="AU44" s="248"/>
      <c r="AV44" s="619"/>
      <c r="AW44" s="495">
        <f>K44</f>
        <v>5</v>
      </c>
      <c r="AX44" s="493">
        <f>K44</f>
        <v>5</v>
      </c>
      <c r="AY44" s="493">
        <f>K44</f>
        <v>5</v>
      </c>
      <c r="AZ44" s="493">
        <f>SUM((AW44+AX44+AY44)/3)</f>
        <v>5</v>
      </c>
      <c r="BA44" s="248"/>
      <c r="BB44" s="495">
        <f>L44</f>
        <v>5</v>
      </c>
      <c r="BC44" s="493">
        <f>L44</f>
        <v>5</v>
      </c>
      <c r="BD44" s="493">
        <f>L44</f>
        <v>5</v>
      </c>
      <c r="BE44" s="493">
        <f>SUM((BB44+BC44+BD44)/3)</f>
        <v>5</v>
      </c>
      <c r="BF44" s="248"/>
      <c r="BG44" s="495">
        <f>M44</f>
        <v>5</v>
      </c>
      <c r="BH44" s="493">
        <f>M44</f>
        <v>5</v>
      </c>
      <c r="BI44" s="493">
        <f>M44</f>
        <v>5</v>
      </c>
      <c r="BJ44" s="493">
        <f>SUM((BG44+BH44+BI44)/3)</f>
        <v>5</v>
      </c>
      <c r="BK44" s="248"/>
      <c r="BL44" s="495">
        <f>N44</f>
        <v>5</v>
      </c>
      <c r="BM44" s="493">
        <f>N44</f>
        <v>5</v>
      </c>
      <c r="BN44" s="493">
        <f>N44</f>
        <v>5</v>
      </c>
      <c r="BO44" s="493">
        <f>SUM((BL44+BM44+BN44)/3)</f>
        <v>5</v>
      </c>
      <c r="BP44" s="248"/>
      <c r="BQ44" s="247"/>
      <c r="BR44" s="495">
        <f>P44</f>
        <v>5</v>
      </c>
      <c r="BS44" s="493">
        <f>P44</f>
        <v>5</v>
      </c>
      <c r="BT44" s="493">
        <f>P44</f>
        <v>5</v>
      </c>
      <c r="BU44" s="493">
        <f>SUM((BR44+BS44+BT44)/3)</f>
        <v>5</v>
      </c>
      <c r="BV44" s="248"/>
      <c r="BW44" s="495">
        <f>Q44</f>
        <v>5</v>
      </c>
      <c r="BX44" s="493">
        <f>Q44</f>
        <v>5</v>
      </c>
      <c r="BY44" s="493">
        <f>Q44</f>
        <v>5</v>
      </c>
      <c r="BZ44" s="493">
        <f>SUM((BW44+BX44+BY44)/3)</f>
        <v>5</v>
      </c>
      <c r="CA44" s="248"/>
      <c r="CB44" s="495">
        <f>R44</f>
        <v>5</v>
      </c>
      <c r="CC44" s="493">
        <f>R44</f>
        <v>5</v>
      </c>
      <c r="CD44" s="493">
        <f>R44</f>
        <v>5</v>
      </c>
      <c r="CE44" s="493">
        <f>SUM((CB44+CC44+CD44)/3)</f>
        <v>5</v>
      </c>
      <c r="CF44" s="248"/>
      <c r="CG44" s="495">
        <f>S44</f>
        <v>5</v>
      </c>
      <c r="CH44" s="493">
        <f>S44</f>
        <v>5</v>
      </c>
      <c r="CI44" s="493">
        <f>S44</f>
        <v>5</v>
      </c>
      <c r="CJ44" s="493">
        <f>SUM((CG44+CH44+CI44)/3)</f>
        <v>5</v>
      </c>
      <c r="CK44" s="248"/>
    </row>
    <row r="45" spans="1:179" s="57" customFormat="1" ht="9.75" customHeight="1" x14ac:dyDescent="0.15">
      <c r="A45" s="488" t="s">
        <v>199</v>
      </c>
      <c r="B45" s="145">
        <v>0.3</v>
      </c>
      <c r="C45" s="218">
        <v>10000000</v>
      </c>
      <c r="D45" s="291"/>
      <c r="E45" s="229"/>
      <c r="F45" s="226">
        <v>0</v>
      </c>
      <c r="G45" s="227">
        <v>0</v>
      </c>
      <c r="H45" s="492">
        <f>SUM(G45+(IF(IF(ISBLANK(D45),B45,D45)*(G30/3)&gt;(IF(ISBLANK(E45),C45,E45)),IF(ISBLANK(E45),C45,E45),IF(ISBLANK(D45),B45,D45)*(G30/3))))</f>
        <v>0</v>
      </c>
      <c r="I45" s="491">
        <f>SUM(G45+(IF(IF(ISBLANK(D45),B45,D45)*(H30/3)&gt;(IF(ISBLANK(E45),C45,E45)),IF(ISBLANK(E45),C45,E45),IF(ISBLANK(D45),B45,D45)*(H30/3))))</f>
        <v>1337.456531844266</v>
      </c>
      <c r="J45" s="217">
        <f t="shared" si="110"/>
        <v>4012.369595532798</v>
      </c>
      <c r="K45" s="492">
        <f>SUM(G45+(IF(IF(ISBLANK(D45),B45,D45)*(I30/3)&gt;(IF(ISBLANK(E45),C45,E45)),IF(ISBLANK(E45),C45,E45),IF(ISBLANK(D45),B45,D45)*(I30/3))))</f>
        <v>5313.5675125748958</v>
      </c>
      <c r="L45" s="492">
        <f>SUM(G45+(IF(IF(ISBLANK(D45),B45,D45)*(K30/3)&gt;(IF(ISBLANK(E45),C45,E45)),IF(ISBLANK(E45),C45,E45),IF(ISBLANK(D45),B45,D45)*(K30/3))))</f>
        <v>9941.5652394041826</v>
      </c>
      <c r="M45" s="492">
        <f>SUM(G45+(IF(IF(ISBLANK(D45),B45,D45)*(L30/3)&gt;(IF(ISBLANK(E45),C45,E45)),IF(ISBLANK(E45),C45,E45),IF(ISBLANK(D45),B45,D45)*(L30/3))))</f>
        <v>18023.860014851089</v>
      </c>
      <c r="N45" s="492">
        <f>SUM(G45+(IF(IF(ISBLANK(D45),B45,D45)*(M30/3)&gt;(IF(ISBLANK(E45),C45,E45)),IF(ISBLANK(E45),C45,E45),IF(ISBLANK(D45),B45,D45)*(M30/3))))</f>
        <v>29476.640944624225</v>
      </c>
      <c r="O45" s="217">
        <f t="shared" si="111"/>
        <v>188266.90113436317</v>
      </c>
      <c r="P45" s="492">
        <f>SUM(G45+(IF(IF(ISBLANK(D45),B45,D45)*(N30/3)&gt;(IF(ISBLANK(E45),C45,E45)),IF(ISBLANK(E45),C45,E45),IF(ISBLANK(D45),B45,D45)*(N30/3))))</f>
        <v>46824.928718482057</v>
      </c>
      <c r="Q45" s="492">
        <f>SUM(G45+(IF(IF(ISBLANK(D45),B45,D45)*(P30/3)&gt;(IF(ISBLANK(E45),C45,E45)),IF(ISBLANK(E45),C45,E45),IF(ISBLANK(D45),B45,D45)*(P30/3))))</f>
        <v>74198.274088197562</v>
      </c>
      <c r="R45" s="492">
        <f>SUM(G45+(IF(IF(ISBLANK(D45),B45,D45)*(Q30/3)&gt;(IF(ISBLANK(E45),C45,E45)),IF(ISBLANK(E45),C45,E45),IF(ISBLANK(D45),B45,D45)*(Q30/3))))</f>
        <v>117861.5690495759</v>
      </c>
      <c r="S45" s="492">
        <f>SUM(G45+(IF(IF(ISBLANK(D45),B45,D45)*(R30/3)&gt;(IF(ISBLANK(E45),C45,E45)),IF(ISBLANK(E45),C45,E45),IF(ISBLANK(D45),B45,D45)*(R30/3))))</f>
        <v>188703.23624787465</v>
      </c>
      <c r="T45" s="218">
        <f t="shared" si="112"/>
        <v>1282764.0243123905</v>
      </c>
      <c r="U45" s="221"/>
      <c r="V45" s="239">
        <f>SUM(G45+(IF(IF(ISBLANK(D45),B45,D45)*(S30)&gt;(IF(ISBLANK(E45),C45,E45)),IF(ISBLANK(E45),C45,E45),IF(ISBLANK(D45),B45,D45)*(S30))))</f>
        <v>917484.33422357414</v>
      </c>
      <c r="W45" s="217">
        <f>SUM(G45+(IF(IF(ISBLANK(D45),B45,D45)*(V30)&gt;(IF(ISBLANK(E45),C45,E45)),IF(ISBLANK(E45),C45,E45),IF(ISBLANK(D45),B45,D45)*(V30))))</f>
        <v>7893510.7031995105</v>
      </c>
      <c r="X45" s="242">
        <f>SUM(G45+(IF(IF(ISBLANK(D45),B45,D45)*(W30)&gt;(IF(ISBLANK(E45),C45,E45)),IF(ISBLANK(E45),C45,E45),IF(ISBLANK(D45),B45,D45)*(W30))))</f>
        <v>10000000</v>
      </c>
      <c r="Y45" s="221"/>
      <c r="Z45" s="578">
        <v>0</v>
      </c>
      <c r="AA45" s="617"/>
      <c r="AB45" s="532">
        <f t="shared" si="113"/>
        <v>0</v>
      </c>
      <c r="AC45" s="492">
        <f t="shared" si="114"/>
        <v>0</v>
      </c>
      <c r="AD45" s="492">
        <f t="shared" si="115"/>
        <v>0</v>
      </c>
      <c r="AE45" s="492">
        <f>SUM(AB45:AD45)</f>
        <v>0</v>
      </c>
      <c r="AF45" s="222"/>
      <c r="AG45" s="532">
        <f t="shared" si="116"/>
        <v>0</v>
      </c>
      <c r="AH45" s="492">
        <f t="shared" si="117"/>
        <v>0</v>
      </c>
      <c r="AI45" s="492">
        <f t="shared" si="118"/>
        <v>0</v>
      </c>
      <c r="AJ45" s="492">
        <f t="shared" si="99"/>
        <v>0</v>
      </c>
      <c r="AK45" s="222"/>
      <c r="AL45" s="532">
        <f t="shared" si="119"/>
        <v>0</v>
      </c>
      <c r="AM45" s="492">
        <f t="shared" si="120"/>
        <v>0</v>
      </c>
      <c r="AN45" s="492">
        <f t="shared" si="121"/>
        <v>0</v>
      </c>
      <c r="AO45" s="492">
        <f>SUM(AL45:AN45)</f>
        <v>0</v>
      </c>
      <c r="AP45" s="222"/>
      <c r="AQ45" s="532">
        <f t="shared" si="122"/>
        <v>1337.456531844266</v>
      </c>
      <c r="AR45" s="492">
        <f t="shared" si="123"/>
        <v>1337.456531844266</v>
      </c>
      <c r="AS45" s="492">
        <f t="shared" si="124"/>
        <v>1337.456531844266</v>
      </c>
      <c r="AT45" s="492">
        <f>SUM(AQ45:AS45)</f>
        <v>4012.369595532798</v>
      </c>
      <c r="AU45" s="222"/>
      <c r="AV45" s="617"/>
      <c r="AW45" s="532">
        <f t="shared" si="125"/>
        <v>5313.5675125748958</v>
      </c>
      <c r="AX45" s="492">
        <f t="shared" si="126"/>
        <v>5313.5675125748958</v>
      </c>
      <c r="AY45" s="492">
        <f t="shared" si="127"/>
        <v>5313.5675125748958</v>
      </c>
      <c r="AZ45" s="492">
        <f>SUM(AW45:AY45)</f>
        <v>15940.702537724686</v>
      </c>
      <c r="BA45" s="222"/>
      <c r="BB45" s="532">
        <f t="shared" si="128"/>
        <v>9941.5652394041826</v>
      </c>
      <c r="BC45" s="492">
        <f t="shared" si="129"/>
        <v>9941.5652394041826</v>
      </c>
      <c r="BD45" s="492">
        <f t="shared" si="130"/>
        <v>9941.5652394041826</v>
      </c>
      <c r="BE45" s="492">
        <f>SUM(BB45:BD45)</f>
        <v>29824.695718212548</v>
      </c>
      <c r="BF45" s="222"/>
      <c r="BG45" s="532">
        <f t="shared" si="131"/>
        <v>18023.860014851089</v>
      </c>
      <c r="BH45" s="492">
        <f t="shared" si="132"/>
        <v>18023.860014851089</v>
      </c>
      <c r="BI45" s="492">
        <f t="shared" si="133"/>
        <v>18023.860014851089</v>
      </c>
      <c r="BJ45" s="492">
        <f>SUM(BG45:BI45)</f>
        <v>54071.580044553266</v>
      </c>
      <c r="BK45" s="222"/>
      <c r="BL45" s="532">
        <f t="shared" si="134"/>
        <v>29476.640944624225</v>
      </c>
      <c r="BM45" s="492">
        <f t="shared" si="135"/>
        <v>29476.640944624225</v>
      </c>
      <c r="BN45" s="492">
        <f t="shared" si="136"/>
        <v>29476.640944624225</v>
      </c>
      <c r="BO45" s="492">
        <f>SUM(BL45:BN45)</f>
        <v>88429.922833872668</v>
      </c>
      <c r="BP45" s="222"/>
      <c r="BQ45" s="221"/>
      <c r="BR45" s="532">
        <f t="shared" si="137"/>
        <v>46824.928718482057</v>
      </c>
      <c r="BS45" s="492">
        <f>P45</f>
        <v>46824.928718482057</v>
      </c>
      <c r="BT45" s="492">
        <f t="shared" si="139"/>
        <v>46824.928718482057</v>
      </c>
      <c r="BU45" s="492">
        <f>SUM(BR45:BT45)</f>
        <v>140474.78615544617</v>
      </c>
      <c r="BV45" s="222"/>
      <c r="BW45" s="532">
        <f t="shared" si="140"/>
        <v>74198.274088197562</v>
      </c>
      <c r="BX45" s="492">
        <f t="shared" si="141"/>
        <v>74198.274088197562</v>
      </c>
      <c r="BY45" s="492">
        <f t="shared" si="142"/>
        <v>74198.274088197562</v>
      </c>
      <c r="BZ45" s="492">
        <f>SUM(BW45:BY45)</f>
        <v>222594.82226459269</v>
      </c>
      <c r="CA45" s="222"/>
      <c r="CB45" s="532">
        <f t="shared" si="143"/>
        <v>117861.5690495759</v>
      </c>
      <c r="CC45" s="492">
        <f t="shared" si="144"/>
        <v>117861.5690495759</v>
      </c>
      <c r="CD45" s="492">
        <f t="shared" si="145"/>
        <v>117861.5690495759</v>
      </c>
      <c r="CE45" s="492">
        <f>SUM(CB45:CD45)</f>
        <v>353584.70714872773</v>
      </c>
      <c r="CF45" s="222"/>
      <c r="CG45" s="532">
        <f t="shared" si="146"/>
        <v>188703.23624787465</v>
      </c>
      <c r="CH45" s="492">
        <f t="shared" si="147"/>
        <v>188703.23624787465</v>
      </c>
      <c r="CI45" s="492">
        <f t="shared" si="148"/>
        <v>188703.23624787465</v>
      </c>
      <c r="CJ45" s="492">
        <f>SUM(CG45:CI45)</f>
        <v>566109.70874362392</v>
      </c>
      <c r="CK45" s="222"/>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row>
    <row r="46" spans="1:179" s="57" customFormat="1" ht="9.75" customHeight="1" x14ac:dyDescent="0.15">
      <c r="A46" s="488" t="s">
        <v>200</v>
      </c>
      <c r="B46" s="239">
        <v>100000</v>
      </c>
      <c r="C46" s="218"/>
      <c r="D46" s="228"/>
      <c r="E46" s="229"/>
      <c r="F46" s="226">
        <v>1000</v>
      </c>
      <c r="G46" s="227">
        <f>SUM((IF(ISBLANK(D46),B46,D46)/3)*0.35)</f>
        <v>11666.666666666666</v>
      </c>
      <c r="H46" s="492">
        <f>SUM((IF(ISBLANK(D46),B46,D46)/3)*0.3)</f>
        <v>10000</v>
      </c>
      <c r="I46" s="491">
        <f>SUM((IF(ISBLANK(D46),B46,D46)/3)*0.2)</f>
        <v>6666.6666666666679</v>
      </c>
      <c r="J46" s="217">
        <f>SUM(F46:I46)*3</f>
        <v>88000</v>
      </c>
      <c r="K46" s="492">
        <f>SUM((IF(ISBLANK(D46),B46,D46)/3)*0.15)</f>
        <v>5000</v>
      </c>
      <c r="L46" s="492">
        <v>0</v>
      </c>
      <c r="M46" s="492">
        <v>0</v>
      </c>
      <c r="N46" s="492">
        <v>0</v>
      </c>
      <c r="O46" s="217">
        <f>SUM(K46:N46)*3</f>
        <v>15000</v>
      </c>
      <c r="P46" s="492">
        <v>0</v>
      </c>
      <c r="Q46" s="492">
        <v>0</v>
      </c>
      <c r="R46" s="492">
        <v>0</v>
      </c>
      <c r="S46" s="492">
        <v>0</v>
      </c>
      <c r="T46" s="218">
        <f>SUM(P46:S46)*3</f>
        <v>0</v>
      </c>
      <c r="U46" s="221"/>
      <c r="V46" s="239">
        <v>0</v>
      </c>
      <c r="W46" s="217">
        <v>0</v>
      </c>
      <c r="X46" s="242">
        <v>0</v>
      </c>
      <c r="Y46" s="221"/>
      <c r="Z46" s="578">
        <v>2000</v>
      </c>
      <c r="AA46" s="617"/>
      <c r="AB46" s="532">
        <f t="shared" si="113"/>
        <v>1000</v>
      </c>
      <c r="AC46" s="492">
        <f t="shared" si="114"/>
        <v>1000</v>
      </c>
      <c r="AD46" s="492">
        <f t="shared" si="115"/>
        <v>1000</v>
      </c>
      <c r="AE46" s="492">
        <f>SUM(AB46:AD46)</f>
        <v>3000</v>
      </c>
      <c r="AF46" s="222"/>
      <c r="AG46" s="532">
        <f t="shared" si="116"/>
        <v>11666.666666666666</v>
      </c>
      <c r="AH46" s="492">
        <f t="shared" si="117"/>
        <v>11666.666666666666</v>
      </c>
      <c r="AI46" s="492">
        <f t="shared" si="118"/>
        <v>11666.666666666666</v>
      </c>
      <c r="AJ46" s="492">
        <f t="shared" si="99"/>
        <v>35000</v>
      </c>
      <c r="AK46" s="222"/>
      <c r="AL46" s="532">
        <f t="shared" si="119"/>
        <v>10000</v>
      </c>
      <c r="AM46" s="492">
        <f t="shared" si="120"/>
        <v>10000</v>
      </c>
      <c r="AN46" s="492">
        <f t="shared" si="121"/>
        <v>10000</v>
      </c>
      <c r="AO46" s="492">
        <f>SUM(AL46:AN46)</f>
        <v>30000</v>
      </c>
      <c r="AP46" s="222"/>
      <c r="AQ46" s="532">
        <f t="shared" si="122"/>
        <v>6666.6666666666679</v>
      </c>
      <c r="AR46" s="492">
        <f t="shared" si="123"/>
        <v>6666.6666666666679</v>
      </c>
      <c r="AS46" s="492">
        <f t="shared" si="124"/>
        <v>6666.6666666666679</v>
      </c>
      <c r="AT46" s="492">
        <f>SUM(AQ46:AS46)</f>
        <v>20000.000000000004</v>
      </c>
      <c r="AU46" s="222"/>
      <c r="AV46" s="617"/>
      <c r="AW46" s="532">
        <f t="shared" si="125"/>
        <v>5000</v>
      </c>
      <c r="AX46" s="492">
        <f t="shared" si="126"/>
        <v>5000</v>
      </c>
      <c r="AY46" s="492">
        <f t="shared" si="127"/>
        <v>5000</v>
      </c>
      <c r="AZ46" s="492">
        <f>SUM(AW46:AY46)</f>
        <v>15000</v>
      </c>
      <c r="BA46" s="222"/>
      <c r="BB46" s="532">
        <f t="shared" si="128"/>
        <v>0</v>
      </c>
      <c r="BC46" s="492">
        <f t="shared" si="129"/>
        <v>0</v>
      </c>
      <c r="BD46" s="492">
        <f t="shared" si="130"/>
        <v>0</v>
      </c>
      <c r="BE46" s="492">
        <f>SUM(BB46:BD46)</f>
        <v>0</v>
      </c>
      <c r="BF46" s="222"/>
      <c r="BG46" s="532">
        <f t="shared" si="131"/>
        <v>0</v>
      </c>
      <c r="BH46" s="492">
        <f t="shared" si="132"/>
        <v>0</v>
      </c>
      <c r="BI46" s="492">
        <f t="shared" si="133"/>
        <v>0</v>
      </c>
      <c r="BJ46" s="492">
        <f>SUM(BG46:BI46)</f>
        <v>0</v>
      </c>
      <c r="BK46" s="222"/>
      <c r="BL46" s="532">
        <f t="shared" si="134"/>
        <v>0</v>
      </c>
      <c r="BM46" s="492">
        <f t="shared" si="135"/>
        <v>0</v>
      </c>
      <c r="BN46" s="492">
        <f t="shared" si="136"/>
        <v>0</v>
      </c>
      <c r="BO46" s="492">
        <f>SUM(BL46:BN46)</f>
        <v>0</v>
      </c>
      <c r="BP46" s="222"/>
      <c r="BQ46" s="221"/>
      <c r="BR46" s="532">
        <f t="shared" si="137"/>
        <v>0</v>
      </c>
      <c r="BS46" s="492">
        <f>P46</f>
        <v>0</v>
      </c>
      <c r="BT46" s="492">
        <f t="shared" si="139"/>
        <v>0</v>
      </c>
      <c r="BU46" s="492">
        <f>SUM(BR46:BT46)</f>
        <v>0</v>
      </c>
      <c r="BV46" s="222"/>
      <c r="BW46" s="532">
        <f t="shared" si="140"/>
        <v>0</v>
      </c>
      <c r="BX46" s="492">
        <f t="shared" si="141"/>
        <v>0</v>
      </c>
      <c r="BY46" s="492">
        <f t="shared" si="142"/>
        <v>0</v>
      </c>
      <c r="BZ46" s="492">
        <f>SUM(BW46:BY46)</f>
        <v>0</v>
      </c>
      <c r="CA46" s="222"/>
      <c r="CB46" s="532">
        <f t="shared" si="143"/>
        <v>0</v>
      </c>
      <c r="CC46" s="492">
        <f t="shared" si="144"/>
        <v>0</v>
      </c>
      <c r="CD46" s="492">
        <f t="shared" si="145"/>
        <v>0</v>
      </c>
      <c r="CE46" s="492">
        <f>SUM(CB46:CD46)</f>
        <v>0</v>
      </c>
      <c r="CF46" s="222"/>
      <c r="CG46" s="532">
        <f t="shared" si="146"/>
        <v>0</v>
      </c>
      <c r="CH46" s="492">
        <f t="shared" si="147"/>
        <v>0</v>
      </c>
      <c r="CI46" s="492">
        <f t="shared" si="148"/>
        <v>0</v>
      </c>
      <c r="CJ46" s="492">
        <f>SUM(CG46:CI46)</f>
        <v>0</v>
      </c>
      <c r="CK46" s="222"/>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row>
    <row r="47" spans="1:179" s="57" customFormat="1" ht="9.75" customHeight="1" x14ac:dyDescent="0.15">
      <c r="A47" s="421" t="s">
        <v>239</v>
      </c>
      <c r="B47" s="249"/>
      <c r="C47" s="250"/>
      <c r="D47" s="249"/>
      <c r="E47" s="251"/>
      <c r="F47" s="419">
        <f>AE47</f>
        <v>128482.35642221538</v>
      </c>
      <c r="G47" s="420">
        <f>AJ47</f>
        <v>160568.57042458723</v>
      </c>
      <c r="H47" s="420">
        <f>AO47</f>
        <v>162213.44075424972</v>
      </c>
      <c r="I47" s="420">
        <f>AT47</f>
        <v>172333.07109776308</v>
      </c>
      <c r="J47" s="211">
        <f>SUM(F47:I47)</f>
        <v>623597.43869881541</v>
      </c>
      <c r="K47" s="420">
        <f>AZ47</f>
        <v>221896.92012181677</v>
      </c>
      <c r="L47" s="420">
        <f>BE47</f>
        <v>260069.93182395905</v>
      </c>
      <c r="M47" s="420">
        <f>BJ47</f>
        <v>343230.63492012443</v>
      </c>
      <c r="N47" s="420">
        <f>BO47</f>
        <v>461151.76699771051</v>
      </c>
      <c r="O47" s="211">
        <f>SUM(K47:N47)</f>
        <v>1286349.2538636108</v>
      </c>
      <c r="P47" s="420">
        <f>BU47</f>
        <v>637710.18323991261</v>
      </c>
      <c r="Q47" s="420">
        <f>BZ47</f>
        <v>921286.88778612833</v>
      </c>
      <c r="R47" s="420">
        <f>CE47</f>
        <v>1347221.8785026055</v>
      </c>
      <c r="S47" s="420">
        <f>CJ47</f>
        <v>2016893.1311778654</v>
      </c>
      <c r="T47" s="230">
        <f>SUM(P47:S47)</f>
        <v>4923112.0807065126</v>
      </c>
      <c r="U47" s="232"/>
      <c r="V47" s="231">
        <f>SUM(V33:V45)</f>
        <v>17742386.741616778</v>
      </c>
      <c r="W47" s="211">
        <f>SUM(W33:W45)</f>
        <v>47538504.465137251</v>
      </c>
      <c r="X47" s="212">
        <f>SUM(X33:X45)</f>
        <v>103816033.85207807</v>
      </c>
      <c r="Y47" s="232"/>
      <c r="Z47" s="579">
        <f>SUM(Z33:Z46)</f>
        <v>1083618.2</v>
      </c>
      <c r="AA47" s="618"/>
      <c r="AB47" s="535">
        <f>SUM(AB33:AB46)</f>
        <v>42827.45214073846</v>
      </c>
      <c r="AC47" s="420">
        <f>SUM(AC33:AC46)</f>
        <v>42827.45214073846</v>
      </c>
      <c r="AD47" s="420">
        <f>SUM(AD33:AD46)</f>
        <v>42827.45214073846</v>
      </c>
      <c r="AE47" s="211">
        <f>SUM(AB47:AD47)</f>
        <v>128482.35642221538</v>
      </c>
      <c r="AF47" s="212"/>
      <c r="AG47" s="535">
        <f>SUM(AG33:AG46)</f>
        <v>53522.856808195742</v>
      </c>
      <c r="AH47" s="420">
        <f>SUM(AH33:AH46)</f>
        <v>53522.856808195742</v>
      </c>
      <c r="AI47" s="420">
        <f>SUM(AI33:AI46)</f>
        <v>53522.856808195742</v>
      </c>
      <c r="AJ47" s="211">
        <f>SUM(AG47:AI47)</f>
        <v>160568.57042458723</v>
      </c>
      <c r="AK47" s="212"/>
      <c r="AL47" s="535">
        <f>SUM(AL33:AL46)</f>
        <v>54071.146918083243</v>
      </c>
      <c r="AM47" s="420">
        <f>SUM(AM33:AM46)</f>
        <v>54071.146918083243</v>
      </c>
      <c r="AN47" s="420">
        <f>SUM(AN33:AN46)</f>
        <v>54071.146918083243</v>
      </c>
      <c r="AO47" s="211">
        <f>SUM(AL47:AN47)</f>
        <v>162213.44075424972</v>
      </c>
      <c r="AP47" s="212"/>
      <c r="AQ47" s="535">
        <f>SUM(AQ33:AQ46)</f>
        <v>57444.357032587694</v>
      </c>
      <c r="AR47" s="420">
        <f>SUM(AR33:AR46)</f>
        <v>57444.357032587694</v>
      </c>
      <c r="AS47" s="420">
        <f>SUM(AS33:AS46)</f>
        <v>57444.357032587694</v>
      </c>
      <c r="AT47" s="211">
        <f>SUM(AQ47:AS47)</f>
        <v>172333.07109776308</v>
      </c>
      <c r="AU47" s="212"/>
      <c r="AV47" s="618"/>
      <c r="AW47" s="535">
        <f>SUM(AW33:AW46)</f>
        <v>73965.640040605591</v>
      </c>
      <c r="AX47" s="420">
        <f>SUM(AX33:AX46)</f>
        <v>73965.640040605591</v>
      </c>
      <c r="AY47" s="420">
        <f>SUM(AY33:AY46)</f>
        <v>73965.640040605591</v>
      </c>
      <c r="AZ47" s="211">
        <f>SUM(AW47:AY47)</f>
        <v>221896.92012181677</v>
      </c>
      <c r="BA47" s="212"/>
      <c r="BB47" s="535">
        <f>SUM(BB33:BB46)</f>
        <v>86689.977274653022</v>
      </c>
      <c r="BC47" s="420">
        <f>SUM(BC33:BC46)</f>
        <v>86689.977274653022</v>
      </c>
      <c r="BD47" s="420">
        <f>SUM(BD33:BD46)</f>
        <v>86689.977274653022</v>
      </c>
      <c r="BE47" s="211">
        <f>SUM(BB47:BD47)</f>
        <v>260069.93182395905</v>
      </c>
      <c r="BF47" s="212"/>
      <c r="BG47" s="535">
        <f>SUM(BG33:BG46)</f>
        <v>114410.21164004147</v>
      </c>
      <c r="BH47" s="420">
        <f>SUM(BH33:BH46)</f>
        <v>114410.21164004147</v>
      </c>
      <c r="BI47" s="420">
        <f>SUM(BI33:BI46)</f>
        <v>114410.21164004147</v>
      </c>
      <c r="BJ47" s="211">
        <f>SUM(BG47:BI47)</f>
        <v>343230.63492012443</v>
      </c>
      <c r="BK47" s="212"/>
      <c r="BL47" s="535">
        <f>SUM(BL33:BL46)</f>
        <v>153717.2556659035</v>
      </c>
      <c r="BM47" s="420">
        <f>SUM(BM33:BM46)</f>
        <v>153717.2556659035</v>
      </c>
      <c r="BN47" s="420">
        <f>SUM(BN33:BN46)</f>
        <v>153717.2556659035</v>
      </c>
      <c r="BO47" s="211">
        <f>SUM(BL47:BN47)</f>
        <v>461151.76699771051</v>
      </c>
      <c r="BP47" s="212"/>
      <c r="BQ47" s="232"/>
      <c r="BR47" s="535">
        <f>SUM(BR33:BR46)</f>
        <v>212570.06107997088</v>
      </c>
      <c r="BS47" s="420">
        <f>SUM(BS33:BS46)</f>
        <v>212570.06107997088</v>
      </c>
      <c r="BT47" s="420">
        <f>SUM(BT33:BT46)</f>
        <v>212570.06107997088</v>
      </c>
      <c r="BU47" s="211">
        <f>SUM(BR47:BT47)</f>
        <v>637710.18323991261</v>
      </c>
      <c r="BV47" s="212"/>
      <c r="BW47" s="535">
        <f>SUM(BW33:BW46)</f>
        <v>307095.62926204276</v>
      </c>
      <c r="BX47" s="420">
        <f>SUM(BX33:BX46)</f>
        <v>307095.62926204276</v>
      </c>
      <c r="BY47" s="420">
        <f>SUM(BY33:BY46)</f>
        <v>307095.62926204276</v>
      </c>
      <c r="BZ47" s="211">
        <f>SUM(BW47:BY47)</f>
        <v>921286.88778612833</v>
      </c>
      <c r="CA47" s="212"/>
      <c r="CB47" s="535">
        <f>SUM(CB33:CB46)</f>
        <v>449073.95950086851</v>
      </c>
      <c r="CC47" s="420">
        <f>SUM(CC33:CC46)</f>
        <v>449073.95950086851</v>
      </c>
      <c r="CD47" s="420">
        <f>SUM(CD33:CD46)</f>
        <v>449073.95950086851</v>
      </c>
      <c r="CE47" s="211">
        <f>SUM(CB47:CD47)</f>
        <v>1347221.8785026055</v>
      </c>
      <c r="CF47" s="212"/>
      <c r="CG47" s="535">
        <f>SUM(CG33:CG46)</f>
        <v>672297.71039262181</v>
      </c>
      <c r="CH47" s="420">
        <f>SUM(CH33:CH46)</f>
        <v>672297.71039262181</v>
      </c>
      <c r="CI47" s="420">
        <f>SUM(CI33:CI46)</f>
        <v>672297.71039262181</v>
      </c>
      <c r="CJ47" s="211">
        <f>SUM(CG47:CI47)</f>
        <v>2016893.1311778654</v>
      </c>
      <c r="CK47" s="212"/>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row>
    <row r="48" spans="1:179" s="55" customFormat="1" ht="4.5" customHeight="1" thickBot="1" x14ac:dyDescent="0.2">
      <c r="A48" s="252"/>
      <c r="B48" s="192"/>
      <c r="C48" s="197"/>
      <c r="D48" s="192"/>
      <c r="E48" s="193"/>
      <c r="F48" s="253"/>
      <c r="G48" s="254"/>
      <c r="H48" s="254"/>
      <c r="I48" s="254"/>
      <c r="J48" s="254"/>
      <c r="K48" s="254"/>
      <c r="L48" s="254"/>
      <c r="M48" s="254"/>
      <c r="N48" s="254"/>
      <c r="O48" s="254"/>
      <c r="P48" s="254"/>
      <c r="Q48" s="254"/>
      <c r="R48" s="254"/>
      <c r="S48" s="254"/>
      <c r="T48" s="255"/>
      <c r="U48" s="258"/>
      <c r="V48" s="256"/>
      <c r="W48" s="254"/>
      <c r="X48" s="257"/>
      <c r="Y48" s="258"/>
      <c r="Z48" s="582"/>
      <c r="AA48" s="620"/>
      <c r="AB48" s="595"/>
      <c r="AC48" s="259"/>
      <c r="AD48" s="259"/>
      <c r="AE48" s="259"/>
      <c r="AF48" s="600"/>
      <c r="AG48" s="595"/>
      <c r="AH48" s="259"/>
      <c r="AI48" s="259"/>
      <c r="AJ48" s="259"/>
      <c r="AK48" s="600"/>
      <c r="AL48" s="595"/>
      <c r="AM48" s="259"/>
      <c r="AN48" s="259"/>
      <c r="AO48" s="259"/>
      <c r="AP48" s="600"/>
      <c r="AQ48" s="595"/>
      <c r="AR48" s="259"/>
      <c r="AS48" s="259"/>
      <c r="AT48" s="259"/>
      <c r="AU48" s="600"/>
      <c r="AV48" s="620"/>
      <c r="AW48" s="595"/>
      <c r="AX48" s="259"/>
      <c r="AY48" s="259"/>
      <c r="AZ48" s="259"/>
      <c r="BA48" s="600"/>
      <c r="BB48" s="595"/>
      <c r="BC48" s="259"/>
      <c r="BD48" s="259"/>
      <c r="BE48" s="259"/>
      <c r="BF48" s="600"/>
      <c r="BG48" s="595"/>
      <c r="BH48" s="259"/>
      <c r="BI48" s="259"/>
      <c r="BJ48" s="259"/>
      <c r="BK48" s="600"/>
      <c r="BL48" s="595"/>
      <c r="BM48" s="259"/>
      <c r="BN48" s="259"/>
      <c r="BO48" s="259"/>
      <c r="BP48" s="600"/>
      <c r="BQ48" s="258"/>
      <c r="BR48" s="595"/>
      <c r="BS48" s="259"/>
      <c r="BT48" s="259"/>
      <c r="BU48" s="259"/>
      <c r="BV48" s="600"/>
      <c r="BW48" s="595"/>
      <c r="BX48" s="259"/>
      <c r="BY48" s="259"/>
      <c r="BZ48" s="259"/>
      <c r="CA48" s="600"/>
      <c r="CB48" s="595"/>
      <c r="CC48" s="259"/>
      <c r="CD48" s="259"/>
      <c r="CE48" s="259"/>
      <c r="CF48" s="600"/>
      <c r="CG48" s="595"/>
      <c r="CH48" s="259"/>
      <c r="CI48" s="259"/>
      <c r="CJ48" s="260"/>
      <c r="CK48" s="261"/>
    </row>
    <row r="49" spans="1:179" s="57" customFormat="1" ht="15" customHeight="1" thickBot="1" x14ac:dyDescent="0.2">
      <c r="A49" s="433" t="s">
        <v>221</v>
      </c>
      <c r="B49" s="262"/>
      <c r="C49" s="263"/>
      <c r="D49" s="262"/>
      <c r="E49" s="264"/>
      <c r="F49" s="265">
        <f>AE49</f>
        <v>-128482.35642221538</v>
      </c>
      <c r="G49" s="266">
        <f>AJ49</f>
        <v>-160568.57042458723</v>
      </c>
      <c r="H49" s="266">
        <f>AO49</f>
        <v>-148838.87543580707</v>
      </c>
      <c r="I49" s="266">
        <f>AT49</f>
        <v>-119197.39597201413</v>
      </c>
      <c r="J49" s="267">
        <f>SUM(F49:I49)</f>
        <v>-557087.1982546238</v>
      </c>
      <c r="K49" s="266">
        <f>AZ49</f>
        <v>-122481.26772777493</v>
      </c>
      <c r="L49" s="268">
        <f>BE49</f>
        <v>-79831.331675448164</v>
      </c>
      <c r="M49" s="268">
        <f>BJ49</f>
        <v>-48464.225473882165</v>
      </c>
      <c r="N49" s="268">
        <f>BO49</f>
        <v>7097.5201871101162</v>
      </c>
      <c r="O49" s="267">
        <f>SUM(K49:N49)</f>
        <v>-243679.30468999513</v>
      </c>
      <c r="P49" s="268">
        <f>BU49</f>
        <v>104272.55764206301</v>
      </c>
      <c r="Q49" s="268">
        <f>BZ49</f>
        <v>257328.80270963069</v>
      </c>
      <c r="R49" s="268">
        <f>CE49</f>
        <v>539810.48397614108</v>
      </c>
      <c r="S49" s="268">
        <f>CJ49</f>
        <v>1041387.982900715</v>
      </c>
      <c r="T49" s="269">
        <f>SUM(P49:S49)</f>
        <v>1942799.8272285499</v>
      </c>
      <c r="U49" s="272"/>
      <c r="V49" s="270">
        <f>SUM(V30-V47)</f>
        <v>8569315.6023815908</v>
      </c>
      <c r="W49" s="267">
        <f>SUM(W30-W47)</f>
        <v>41731880.439293049</v>
      </c>
      <c r="X49" s="271">
        <f>SUM(X30-X47)</f>
        <v>126989800.34524696</v>
      </c>
      <c r="Y49" s="272"/>
      <c r="Z49" s="583">
        <f>SUM(Z30-Z47)</f>
        <v>-1083618.2</v>
      </c>
      <c r="AA49" s="621"/>
      <c r="AB49" s="596">
        <f>AB30-AB47</f>
        <v>-42827.45214073846</v>
      </c>
      <c r="AC49" s="273">
        <f>AC30-AC47</f>
        <v>-42827.45214073846</v>
      </c>
      <c r="AD49" s="273">
        <f>AD30-AD47</f>
        <v>-42827.45214073846</v>
      </c>
      <c r="AE49" s="274">
        <f>AE30-AE47</f>
        <v>-128482.35642221538</v>
      </c>
      <c r="AF49" s="601"/>
      <c r="AG49" s="596">
        <f>AG30-AG47</f>
        <v>-53522.856808195742</v>
      </c>
      <c r="AH49" s="273">
        <f>AH30-AH47</f>
        <v>-53522.856808195742</v>
      </c>
      <c r="AI49" s="273">
        <f>AI30-AI47</f>
        <v>-53522.856808195742</v>
      </c>
      <c r="AJ49" s="274">
        <f>AJ30-AJ47</f>
        <v>-160568.57042458723</v>
      </c>
      <c r="AK49" s="601"/>
      <c r="AL49" s="596">
        <f>AL30-AL47</f>
        <v>-51078.857624213226</v>
      </c>
      <c r="AM49" s="273">
        <f>AM30-AM47</f>
        <v>-49615.295358433978</v>
      </c>
      <c r="AN49" s="273">
        <f>AN30-AN47</f>
        <v>-48144.722453159869</v>
      </c>
      <c r="AO49" s="274">
        <f>AO30-AO47</f>
        <v>-148838.87543580707</v>
      </c>
      <c r="AP49" s="601"/>
      <c r="AQ49" s="596">
        <f>AQ30-AQ47</f>
        <v>-42525.836471202543</v>
      </c>
      <c r="AR49" s="273">
        <f>AR30-AR47</f>
        <v>-39714.053766362194</v>
      </c>
      <c r="AS49" s="273">
        <f>AS30-AS47</f>
        <v>-36957.505734449391</v>
      </c>
      <c r="AT49" s="274">
        <f>AT30-AT47</f>
        <v>-119197.39597201413</v>
      </c>
      <c r="AU49" s="601"/>
      <c r="AV49" s="621"/>
      <c r="AW49" s="596">
        <f>AW30-AW47</f>
        <v>-44056.560595844239</v>
      </c>
      <c r="AX49" s="273">
        <f>AX30-AX47</f>
        <v>-40791.145734728671</v>
      </c>
      <c r="AY49" s="273">
        <f>AY30-AY47</f>
        <v>-37633.561397202022</v>
      </c>
      <c r="AZ49" s="274">
        <f>AZ30-AZ47</f>
        <v>-122481.26772777493</v>
      </c>
      <c r="BA49" s="601"/>
      <c r="BB49" s="596">
        <f>BB30-BB47</f>
        <v>-31942.82612749641</v>
      </c>
      <c r="BC49" s="273">
        <f>BC30-BC47</f>
        <v>-26560.156961669149</v>
      </c>
      <c r="BD49" s="273">
        <f>BD30-BD47</f>
        <v>-21328.348586282627</v>
      </c>
      <c r="BE49" s="274">
        <f>BE30-BE47</f>
        <v>-79831.331675448164</v>
      </c>
      <c r="BF49" s="601"/>
      <c r="BG49" s="596">
        <f>BG30-BG47</f>
        <v>-23948.697396813455</v>
      </c>
      <c r="BH49" s="273">
        <f>BH30-BH47</f>
        <v>-16104.977890914437</v>
      </c>
      <c r="BI49" s="273">
        <f>BI30-BI47</f>
        <v>-8410.5501861542434</v>
      </c>
      <c r="BJ49" s="274">
        <f>BJ30-BJ47</f>
        <v>-48464.225473882165</v>
      </c>
      <c r="BK49" s="601"/>
      <c r="BL49" s="596">
        <f>BL30-BL47</f>
        <v>-11588.896443066915</v>
      </c>
      <c r="BM49" s="273">
        <f>BM30-BM47</f>
        <v>2412.6952648508886</v>
      </c>
      <c r="BN49" s="273">
        <f>BN30-BN47</f>
        <v>16273.721365326172</v>
      </c>
      <c r="BO49" s="274">
        <f>BO30-BO47</f>
        <v>7097.5201871101162</v>
      </c>
      <c r="BP49" s="601"/>
      <c r="BQ49" s="272"/>
      <c r="BR49" s="596">
        <f>BR30-BR47</f>
        <v>10706.483537641499</v>
      </c>
      <c r="BS49" s="273">
        <f>BS30-BS47</f>
        <v>34765.919577895955</v>
      </c>
      <c r="BT49" s="273">
        <f>BT30-BT47</f>
        <v>58800.154526525555</v>
      </c>
      <c r="BU49" s="274">
        <f>BU30-BU47</f>
        <v>104272.55764206301</v>
      </c>
      <c r="BV49" s="601"/>
      <c r="BW49" s="596">
        <f>BW30-BW47</f>
        <v>44700.819557571493</v>
      </c>
      <c r="BX49" s="273">
        <f>BX30-BX47</f>
        <v>85667.817714665725</v>
      </c>
      <c r="BY49" s="273">
        <f>BY30-BY47</f>
        <v>126960.16543739359</v>
      </c>
      <c r="BZ49" s="274">
        <f>BZ30-BZ47</f>
        <v>257328.80270963069</v>
      </c>
      <c r="CA49" s="601"/>
      <c r="CB49" s="596">
        <f>CB30-CB47</f>
        <v>109425.80950868555</v>
      </c>
      <c r="CC49" s="273">
        <f>CC30-CC47</f>
        <v>179541.19823320647</v>
      </c>
      <c r="CD49" s="273">
        <f>CD30-CD47</f>
        <v>250843.47623424901</v>
      </c>
      <c r="CE49" s="274">
        <f>CE30-CE47</f>
        <v>539810.48397614108</v>
      </c>
      <c r="CF49" s="601"/>
      <c r="CG49" s="596">
        <f>CG30-CG47</f>
        <v>224994.01174990588</v>
      </c>
      <c r="CH49" s="273">
        <f>CH30-CH47</f>
        <v>346083.54504624568</v>
      </c>
      <c r="CI49" s="273">
        <f>CI30-CI47</f>
        <v>470310.42610456352</v>
      </c>
      <c r="CJ49" s="267">
        <f>CJ30-CJ47</f>
        <v>1041387.982900715</v>
      </c>
      <c r="CK49" s="271"/>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row>
    <row r="50" spans="1:179" s="57" customFormat="1" ht="9.75" customHeight="1" x14ac:dyDescent="0.15">
      <c r="A50" s="54"/>
      <c r="B50" s="275"/>
      <c r="C50" s="275"/>
      <c r="D50" s="44"/>
      <c r="E50" s="44"/>
      <c r="F50" s="44"/>
      <c r="G50" s="44"/>
      <c r="H50" s="44"/>
      <c r="I50" s="44"/>
      <c r="J50" s="276"/>
      <c r="K50" s="44"/>
      <c r="L50" s="44"/>
      <c r="M50" s="44"/>
      <c r="N50" s="44"/>
      <c r="O50" s="276"/>
      <c r="P50" s="44"/>
      <c r="Q50" s="44"/>
      <c r="R50" s="44"/>
      <c r="S50" s="44"/>
      <c r="T50" s="44"/>
      <c r="U50" s="44"/>
      <c r="V50" s="44"/>
      <c r="W50" s="44"/>
      <c r="X50" s="44"/>
      <c r="Y50" s="276"/>
      <c r="Z50" s="276"/>
      <c r="AA50" s="276"/>
      <c r="AB50" s="54"/>
      <c r="AC50" s="55"/>
      <c r="AD50" s="55"/>
      <c r="AE50" s="55"/>
      <c r="AF50" s="55"/>
      <c r="AG50" s="55"/>
      <c r="AH50" s="55"/>
      <c r="AI50" s="55"/>
      <c r="AJ50" s="55"/>
      <c r="AK50" s="55"/>
      <c r="AL50" s="55"/>
      <c r="AM50" s="55"/>
      <c r="AN50" s="55"/>
      <c r="AO50" s="56"/>
      <c r="AP50" s="56"/>
      <c r="AQ50" s="56"/>
      <c r="AR50" s="56"/>
      <c r="AS50" s="56"/>
      <c r="AT50" s="56"/>
      <c r="AU50" s="56"/>
      <c r="AV50" s="276"/>
      <c r="AW50" s="56"/>
      <c r="AX50" s="56"/>
      <c r="AZ50" s="58"/>
      <c r="BA50" s="58"/>
      <c r="BB50" s="56"/>
      <c r="BC50" s="56"/>
      <c r="BD50" s="56"/>
      <c r="BE50" s="56"/>
      <c r="BF50" s="56"/>
      <c r="BG50" s="56"/>
      <c r="BH50" s="56"/>
      <c r="BI50" s="56"/>
      <c r="BJ50" s="56"/>
      <c r="BK50" s="56"/>
      <c r="BL50" s="56"/>
      <c r="BM50" s="56"/>
      <c r="BN50" s="56"/>
      <c r="BO50" s="56"/>
      <c r="BP50" s="56"/>
      <c r="BQ50" s="276"/>
      <c r="BR50" s="56"/>
      <c r="BS50" s="56"/>
      <c r="BU50" s="58"/>
      <c r="BV50" s="58"/>
      <c r="BW50" s="56"/>
      <c r="BX50" s="56"/>
      <c r="BY50" s="56"/>
      <c r="BZ50" s="56"/>
      <c r="CA50" s="56"/>
      <c r="CB50" s="56"/>
      <c r="CC50" s="56"/>
      <c r="CD50" s="56"/>
      <c r="CE50" s="56"/>
      <c r="CF50" s="56"/>
      <c r="CG50" s="56"/>
      <c r="CH50" s="56"/>
      <c r="CI50" s="56"/>
      <c r="CJ50" s="56"/>
      <c r="CK50" s="56"/>
    </row>
    <row r="51" spans="1:179" s="57" customFormat="1" ht="9.75" customHeight="1" x14ac:dyDescent="0.15">
      <c r="A51" s="277"/>
      <c r="B51" s="278"/>
      <c r="C51" s="278"/>
      <c r="D51" s="44"/>
      <c r="E51" s="44"/>
      <c r="F51" s="44"/>
      <c r="G51" s="44"/>
      <c r="H51" s="44"/>
      <c r="I51" s="44"/>
      <c r="J51" s="53"/>
      <c r="K51" s="44"/>
      <c r="L51" s="44"/>
      <c r="M51" s="44"/>
      <c r="N51" s="44"/>
      <c r="O51" s="53"/>
      <c r="P51" s="44"/>
      <c r="Q51" s="44"/>
      <c r="R51" s="44"/>
      <c r="S51" s="44"/>
      <c r="T51" s="44"/>
      <c r="U51" s="44"/>
      <c r="V51" s="44"/>
      <c r="W51" s="44"/>
      <c r="X51" s="44"/>
      <c r="Y51" s="53"/>
      <c r="Z51" s="53"/>
      <c r="AA51" s="53"/>
      <c r="AB51" s="54"/>
      <c r="AC51" s="55"/>
      <c r="AD51" s="55"/>
      <c r="AE51" s="55"/>
      <c r="AF51" s="55"/>
      <c r="AG51" s="55"/>
      <c r="AH51" s="55"/>
      <c r="AI51" s="55"/>
      <c r="AJ51" s="55"/>
      <c r="AK51" s="55"/>
      <c r="AL51" s="55"/>
      <c r="AM51" s="55"/>
      <c r="AN51" s="55"/>
      <c r="AO51" s="56"/>
      <c r="AP51" s="56"/>
      <c r="AQ51" s="56"/>
      <c r="AR51" s="56"/>
      <c r="AS51" s="56"/>
      <c r="AT51" s="56"/>
      <c r="AU51" s="56"/>
      <c r="AV51" s="53"/>
      <c r="AW51" s="56"/>
      <c r="AX51" s="56"/>
      <c r="AZ51" s="58"/>
      <c r="BA51" s="58"/>
      <c r="BB51" s="56"/>
      <c r="BC51" s="56"/>
      <c r="BD51" s="56"/>
      <c r="BE51" s="56"/>
      <c r="BF51" s="56"/>
      <c r="BG51" s="56"/>
      <c r="BH51" s="56"/>
      <c r="BI51" s="56"/>
      <c r="BJ51" s="56"/>
      <c r="BK51" s="56"/>
      <c r="BL51" s="56"/>
      <c r="BM51" s="56"/>
      <c r="BN51" s="56"/>
      <c r="BO51" s="56"/>
      <c r="BP51" s="56"/>
      <c r="BQ51" s="53"/>
      <c r="BR51" s="56"/>
      <c r="BS51" s="56"/>
      <c r="BU51" s="58"/>
      <c r="BV51" s="58"/>
      <c r="BW51" s="56"/>
      <c r="BX51" s="56"/>
      <c r="BY51" s="56"/>
      <c r="BZ51" s="56"/>
      <c r="CA51" s="56"/>
      <c r="CB51" s="56"/>
      <c r="CC51" s="56"/>
      <c r="CD51" s="56"/>
      <c r="CE51" s="56"/>
      <c r="CF51" s="56"/>
      <c r="CG51" s="56"/>
      <c r="CH51" s="56"/>
      <c r="CI51" s="56"/>
      <c r="CJ51" s="56"/>
      <c r="CK51" s="56"/>
    </row>
    <row r="52" spans="1:179" s="57" customFormat="1" ht="9.75" customHeight="1" x14ac:dyDescent="0.15">
      <c r="A52" s="279"/>
      <c r="B52" s="278"/>
      <c r="C52" s="278"/>
      <c r="D52" s="44"/>
      <c r="E52" s="44"/>
      <c r="F52" s="44"/>
      <c r="G52" s="44"/>
      <c r="H52" s="44"/>
      <c r="I52" s="44"/>
      <c r="J52" s="53"/>
      <c r="K52" s="44"/>
      <c r="L52" s="44"/>
      <c r="M52" s="44"/>
      <c r="N52" s="44"/>
      <c r="O52" s="53"/>
      <c r="P52" s="44"/>
      <c r="Q52" s="44"/>
      <c r="R52" s="44"/>
      <c r="S52" s="44"/>
      <c r="T52" s="44"/>
      <c r="U52" s="44"/>
      <c r="V52" s="44"/>
      <c r="W52" s="44"/>
      <c r="X52" s="44"/>
      <c r="Y52" s="53"/>
      <c r="Z52" s="53"/>
      <c r="AA52" s="53"/>
      <c r="AB52" s="54"/>
      <c r="AC52" s="55"/>
      <c r="AD52" s="55"/>
      <c r="AE52" s="55"/>
      <c r="AF52" s="55"/>
      <c r="AG52" s="55"/>
      <c r="AH52" s="55"/>
      <c r="AI52" s="55"/>
      <c r="AJ52" s="55"/>
      <c r="AK52" s="55"/>
      <c r="AL52" s="55"/>
      <c r="AM52" s="55"/>
      <c r="AN52" s="55"/>
      <c r="AO52" s="56"/>
      <c r="AP52" s="56"/>
      <c r="AQ52" s="56"/>
      <c r="AR52" s="56"/>
      <c r="AS52" s="56"/>
      <c r="AT52" s="56"/>
      <c r="AU52" s="56"/>
      <c r="AV52" s="53"/>
      <c r="AW52" s="56"/>
      <c r="AX52" s="56"/>
      <c r="AZ52" s="58"/>
      <c r="BA52" s="58"/>
      <c r="BB52" s="56"/>
      <c r="BC52" s="56"/>
      <c r="BD52" s="56"/>
      <c r="BE52" s="56"/>
      <c r="BF52" s="56"/>
      <c r="BG52" s="56"/>
      <c r="BH52" s="56"/>
      <c r="BI52" s="56"/>
      <c r="BJ52" s="56"/>
      <c r="BK52" s="56"/>
      <c r="BL52" s="56"/>
      <c r="BM52" s="56"/>
      <c r="BN52" s="56"/>
      <c r="BO52" s="56"/>
      <c r="BP52" s="56"/>
      <c r="BQ52" s="53"/>
      <c r="BR52" s="56"/>
      <c r="BS52" s="56"/>
      <c r="BU52" s="58"/>
      <c r="BV52" s="58"/>
      <c r="BW52" s="56"/>
      <c r="BX52" s="56"/>
      <c r="BY52" s="56"/>
      <c r="BZ52" s="56"/>
      <c r="CA52" s="56"/>
      <c r="CB52" s="56"/>
      <c r="CC52" s="56"/>
      <c r="CD52" s="56"/>
      <c r="CE52" s="56"/>
      <c r="CF52" s="56"/>
      <c r="CG52" s="56"/>
      <c r="CH52" s="56"/>
      <c r="CI52" s="56"/>
      <c r="CJ52" s="56"/>
      <c r="CK52" s="56"/>
    </row>
    <row r="53" spans="1:179" s="57" customFormat="1" ht="9.75" customHeight="1" x14ac:dyDescent="0.15">
      <c r="A53" s="70"/>
      <c r="B53" s="278"/>
      <c r="C53" s="278"/>
      <c r="D53" s="44"/>
      <c r="E53" s="44"/>
      <c r="F53" s="44"/>
      <c r="G53" s="44"/>
      <c r="H53" s="44"/>
      <c r="I53" s="44"/>
      <c r="J53" s="53"/>
      <c r="K53" s="44"/>
      <c r="L53" s="44"/>
      <c r="M53" s="44"/>
      <c r="N53" s="44"/>
      <c r="O53" s="53"/>
      <c r="P53" s="44"/>
      <c r="Q53" s="44"/>
      <c r="R53" s="44"/>
      <c r="S53" s="44"/>
      <c r="T53" s="44"/>
      <c r="U53" s="44"/>
      <c r="V53" s="44"/>
      <c r="W53" s="44"/>
      <c r="X53" s="44"/>
      <c r="Y53" s="53"/>
      <c r="Z53" s="53"/>
      <c r="AA53" s="53"/>
      <c r="AB53" s="54"/>
      <c r="AC53" s="55"/>
      <c r="AD53" s="55"/>
      <c r="AE53" s="55"/>
      <c r="AF53" s="55"/>
      <c r="AG53" s="55"/>
      <c r="AH53" s="55"/>
      <c r="AI53" s="55"/>
      <c r="AJ53" s="55"/>
      <c r="AK53" s="55"/>
      <c r="AL53" s="55"/>
      <c r="AM53" s="55"/>
      <c r="AN53" s="55"/>
      <c r="AO53" s="56"/>
      <c r="AP53" s="56"/>
      <c r="AQ53" s="56"/>
      <c r="AR53" s="56"/>
      <c r="AS53" s="56"/>
      <c r="AT53" s="56"/>
      <c r="AU53" s="56"/>
      <c r="AV53" s="53"/>
      <c r="AW53" s="56"/>
      <c r="AX53" s="56"/>
      <c r="AZ53" s="58"/>
      <c r="BA53" s="58"/>
      <c r="BB53" s="56"/>
      <c r="BC53" s="56"/>
      <c r="BD53" s="56"/>
      <c r="BE53" s="56"/>
      <c r="BF53" s="56"/>
      <c r="BG53" s="56"/>
      <c r="BH53" s="56"/>
      <c r="BI53" s="56"/>
      <c r="BJ53" s="56"/>
      <c r="BK53" s="56"/>
      <c r="BL53" s="56"/>
      <c r="BM53" s="56"/>
      <c r="BN53" s="56"/>
      <c r="BO53" s="56"/>
      <c r="BP53" s="56"/>
      <c r="BQ53" s="53"/>
      <c r="BR53" s="56"/>
      <c r="BS53" s="56"/>
      <c r="BU53" s="58"/>
      <c r="BV53" s="58"/>
      <c r="BW53" s="56"/>
      <c r="BX53" s="56"/>
      <c r="BY53" s="56"/>
      <c r="BZ53" s="56"/>
      <c r="CA53" s="56"/>
      <c r="CB53" s="56"/>
      <c r="CC53" s="56"/>
      <c r="CD53" s="56"/>
      <c r="CE53" s="56"/>
      <c r="CF53" s="56"/>
      <c r="CG53" s="56"/>
      <c r="CH53" s="56"/>
      <c r="CI53" s="56"/>
      <c r="CJ53" s="56"/>
      <c r="CK53" s="56"/>
    </row>
    <row r="54" spans="1:179" s="57" customFormat="1" ht="9.75" customHeight="1" x14ac:dyDescent="0.15">
      <c r="A54" s="277"/>
      <c r="B54" s="280"/>
      <c r="C54" s="280"/>
      <c r="D54" s="44"/>
      <c r="E54" s="44"/>
      <c r="F54" s="44"/>
      <c r="G54" s="44"/>
      <c r="H54" s="44"/>
      <c r="I54" s="44"/>
      <c r="J54" s="53"/>
      <c r="K54" s="44"/>
      <c r="L54" s="44"/>
      <c r="M54" s="44"/>
      <c r="N54" s="44"/>
      <c r="O54" s="53"/>
      <c r="P54" s="44"/>
      <c r="Q54" s="44"/>
      <c r="R54" s="44"/>
      <c r="S54" s="44"/>
      <c r="T54" s="44"/>
      <c r="U54" s="44"/>
      <c r="V54" s="44"/>
      <c r="W54" s="44"/>
      <c r="X54" s="44"/>
      <c r="Y54" s="53"/>
      <c r="Z54" s="53"/>
      <c r="AA54" s="53"/>
      <c r="AB54" s="54"/>
      <c r="AC54" s="55"/>
      <c r="AD54" s="55"/>
      <c r="AE54" s="55"/>
      <c r="AF54" s="55"/>
      <c r="AG54" s="55"/>
      <c r="AH54" s="55"/>
      <c r="AI54" s="55"/>
      <c r="AJ54" s="55"/>
      <c r="AK54" s="55"/>
      <c r="AL54" s="55"/>
      <c r="AM54" s="55"/>
      <c r="AN54" s="55"/>
      <c r="AO54" s="56"/>
      <c r="AP54" s="56"/>
      <c r="AQ54" s="56"/>
      <c r="AR54" s="56"/>
      <c r="AS54" s="56"/>
      <c r="AT54" s="56"/>
      <c r="AU54" s="56"/>
      <c r="AV54" s="53"/>
      <c r="AW54" s="56"/>
      <c r="AX54" s="56"/>
      <c r="AZ54" s="58"/>
      <c r="BA54" s="58"/>
      <c r="BB54" s="56"/>
      <c r="BC54" s="56"/>
      <c r="BD54" s="56"/>
      <c r="BE54" s="56"/>
      <c r="BF54" s="56"/>
      <c r="BG54" s="56"/>
      <c r="BH54" s="56"/>
      <c r="BI54" s="56"/>
      <c r="BJ54" s="56"/>
      <c r="BK54" s="56"/>
      <c r="BL54" s="56"/>
      <c r="BM54" s="56"/>
      <c r="BN54" s="56"/>
      <c r="BO54" s="56"/>
      <c r="BP54" s="56"/>
      <c r="BQ54" s="53"/>
      <c r="BR54" s="56"/>
      <c r="BS54" s="56"/>
      <c r="BU54" s="58"/>
      <c r="BV54" s="58"/>
      <c r="BW54" s="56"/>
      <c r="BX54" s="56"/>
      <c r="BY54" s="56"/>
      <c r="BZ54" s="56"/>
      <c r="CA54" s="56"/>
      <c r="CB54" s="56"/>
      <c r="CC54" s="56"/>
      <c r="CD54" s="56"/>
      <c r="CE54" s="56"/>
      <c r="CF54" s="56"/>
      <c r="CG54" s="56"/>
      <c r="CH54" s="56"/>
      <c r="CI54" s="56"/>
      <c r="CJ54" s="56"/>
      <c r="CK54" s="56"/>
    </row>
    <row r="55" spans="1:179" s="57" customFormat="1" ht="11.25" customHeight="1" x14ac:dyDescent="0.15">
      <c r="A55" s="54"/>
      <c r="B55" s="54"/>
      <c r="C55" s="54"/>
      <c r="D55" s="44"/>
      <c r="E55" s="44"/>
      <c r="F55" s="44"/>
      <c r="G55" s="44"/>
      <c r="H55" s="44"/>
      <c r="I55" s="44"/>
      <c r="J55" s="64" t="s">
        <v>40</v>
      </c>
      <c r="K55" s="44"/>
      <c r="L55" s="44"/>
      <c r="M55" s="44"/>
      <c r="N55" s="44"/>
      <c r="O55" s="65"/>
      <c r="P55" s="44"/>
      <c r="Q55" s="44"/>
      <c r="R55" s="44"/>
      <c r="S55" s="44"/>
      <c r="T55" s="44"/>
      <c r="U55" s="44"/>
      <c r="V55" s="44"/>
      <c r="W55" s="44"/>
      <c r="X55" s="44"/>
      <c r="Y55" s="65"/>
      <c r="Z55" s="65"/>
      <c r="AA55" s="65"/>
      <c r="AB55" s="55"/>
      <c r="AC55" s="55"/>
      <c r="AD55" s="55"/>
      <c r="AE55" s="55"/>
      <c r="AF55" s="55"/>
      <c r="AG55" s="55"/>
      <c r="AH55" s="55"/>
      <c r="AI55" s="55"/>
      <c r="AJ55" s="55"/>
      <c r="AK55" s="55"/>
      <c r="AL55" s="55"/>
      <c r="AM55" s="55"/>
      <c r="AN55" s="55"/>
      <c r="AV55" s="65"/>
      <c r="AZ55" s="66"/>
      <c r="BA55" s="66"/>
      <c r="BQ55" s="65"/>
      <c r="BU55" s="66"/>
      <c r="BV55" s="66"/>
    </row>
    <row r="56" spans="1:179" s="57" customFormat="1" ht="11.25" customHeight="1" x14ac:dyDescent="0.15">
      <c r="A56" s="54"/>
      <c r="B56" s="54"/>
      <c r="C56" s="54"/>
      <c r="D56" s="44"/>
      <c r="E56" s="44"/>
      <c r="F56" s="44"/>
      <c r="G56" s="44"/>
      <c r="H56" s="44"/>
      <c r="I56" s="44"/>
      <c r="J56" s="64" t="s">
        <v>40</v>
      </c>
      <c r="K56" s="44"/>
      <c r="L56" s="44"/>
      <c r="M56" s="44"/>
      <c r="N56" s="44"/>
      <c r="O56" s="65"/>
      <c r="P56" s="44"/>
      <c r="Q56" s="44"/>
      <c r="R56" s="44"/>
      <c r="S56" s="44"/>
      <c r="T56" s="44"/>
      <c r="U56" s="44"/>
      <c r="V56" s="44"/>
      <c r="W56" s="44"/>
      <c r="X56" s="44"/>
      <c r="Y56" s="65"/>
      <c r="Z56" s="65"/>
      <c r="AA56" s="65"/>
      <c r="AB56" s="69"/>
      <c r="AC56" s="55"/>
      <c r="AD56" s="55"/>
      <c r="AE56" s="70"/>
      <c r="AF56" s="70"/>
      <c r="AG56" s="54"/>
      <c r="AH56" s="54"/>
      <c r="AI56" s="54"/>
      <c r="AJ56" s="54"/>
      <c r="AK56" s="54"/>
      <c r="AL56" s="54"/>
      <c r="AM56" s="54"/>
      <c r="AN56" s="54"/>
      <c r="AO56" s="56"/>
      <c r="AP56" s="56"/>
      <c r="AQ56" s="56"/>
      <c r="AR56" s="56"/>
      <c r="AS56" s="56"/>
      <c r="AT56" s="56"/>
      <c r="AU56" s="56"/>
      <c r="AV56" s="65"/>
      <c r="AW56" s="56"/>
      <c r="AX56" s="56"/>
      <c r="AZ56" s="58"/>
      <c r="BA56" s="58"/>
      <c r="BB56" s="56"/>
      <c r="BC56" s="56"/>
      <c r="BD56" s="56"/>
      <c r="BE56" s="56"/>
      <c r="BF56" s="56"/>
      <c r="BG56" s="56"/>
      <c r="BH56" s="56"/>
      <c r="BI56" s="56"/>
      <c r="BJ56" s="56"/>
      <c r="BK56" s="56"/>
      <c r="BL56" s="56"/>
      <c r="BM56" s="56"/>
      <c r="BN56" s="56"/>
      <c r="BO56" s="56"/>
      <c r="BP56" s="56"/>
      <c r="BQ56" s="65"/>
      <c r="BR56" s="56"/>
      <c r="BS56" s="56"/>
      <c r="BU56" s="58"/>
      <c r="BV56" s="58"/>
      <c r="BW56" s="56"/>
      <c r="BX56" s="56"/>
      <c r="BY56" s="56"/>
      <c r="BZ56" s="56"/>
      <c r="CA56" s="56"/>
      <c r="CB56" s="56"/>
      <c r="CC56" s="56"/>
      <c r="CD56" s="56"/>
      <c r="CE56" s="56"/>
      <c r="CF56" s="56"/>
      <c r="CG56" s="56"/>
      <c r="CH56" s="56"/>
      <c r="CI56" s="56"/>
      <c r="CJ56" s="56"/>
      <c r="CK56" s="56"/>
    </row>
    <row r="57" spans="1:179" s="57" customFormat="1" ht="11.25" customHeight="1" x14ac:dyDescent="0.2">
      <c r="A57" s="54"/>
      <c r="B57" s="54"/>
      <c r="C57" s="54"/>
      <c r="D57" s="87"/>
      <c r="E57" s="87"/>
      <c r="F57" s="39"/>
      <c r="G57" s="88"/>
      <c r="H57" s="39"/>
      <c r="I57" s="87"/>
      <c r="J57" s="64" t="s">
        <v>40</v>
      </c>
      <c r="K57" s="87"/>
      <c r="L57" s="39"/>
      <c r="M57" s="87"/>
      <c r="N57" s="39"/>
      <c r="O57" s="72"/>
      <c r="P57" s="39"/>
      <c r="Q57" s="41"/>
      <c r="R57" s="41"/>
      <c r="S57" s="41"/>
      <c r="T57" s="41"/>
      <c r="U57" s="41"/>
      <c r="V57" s="41"/>
      <c r="W57" s="41"/>
      <c r="X57" s="41"/>
      <c r="Y57" s="72"/>
      <c r="Z57" s="72"/>
      <c r="AA57" s="72"/>
      <c r="AB57" s="55"/>
      <c r="AC57" s="55"/>
      <c r="AD57" s="55"/>
      <c r="AE57" s="73"/>
      <c r="AF57" s="73"/>
      <c r="AG57" s="55"/>
      <c r="AH57" s="55"/>
      <c r="AI57" s="55"/>
      <c r="AJ57" s="55"/>
      <c r="AK57" s="55"/>
      <c r="AL57" s="55"/>
      <c r="AM57" s="55"/>
      <c r="AN57" s="55"/>
      <c r="AV57" s="72"/>
      <c r="AZ57" s="74"/>
      <c r="BA57" s="74"/>
      <c r="BQ57" s="72"/>
      <c r="BU57" s="74"/>
      <c r="BV57" s="74"/>
    </row>
    <row r="58" spans="1:179" s="57" customFormat="1" ht="11.25" customHeight="1" x14ac:dyDescent="0.15">
      <c r="A58" s="54"/>
      <c r="B58" s="54"/>
      <c r="C58" s="54"/>
      <c r="D58" s="44"/>
      <c r="E58" s="44"/>
      <c r="F58" s="44"/>
      <c r="G58" s="44"/>
      <c r="H58" s="44"/>
      <c r="I58" s="44"/>
      <c r="J58" s="64"/>
      <c r="K58" s="44"/>
      <c r="L58" s="44"/>
      <c r="M58" s="44"/>
      <c r="N58" s="44"/>
      <c r="O58" s="72"/>
      <c r="P58" s="44"/>
      <c r="Q58" s="44"/>
      <c r="R58" s="44"/>
      <c r="S58" s="44"/>
      <c r="T58" s="44"/>
      <c r="U58" s="44"/>
      <c r="V58" s="44"/>
      <c r="W58" s="44"/>
      <c r="X58" s="44"/>
      <c r="Y58" s="72"/>
      <c r="Z58" s="72"/>
      <c r="AA58" s="72"/>
      <c r="AB58" s="55"/>
      <c r="AC58" s="55"/>
      <c r="AD58" s="55"/>
      <c r="AE58" s="73"/>
      <c r="AF58" s="73"/>
      <c r="AG58" s="55"/>
      <c r="AH58" s="55"/>
      <c r="AI58" s="55"/>
      <c r="AJ58" s="55"/>
      <c r="AK58" s="55"/>
      <c r="AL58" s="55"/>
      <c r="AM58" s="55"/>
      <c r="AN58" s="55"/>
      <c r="AV58" s="72"/>
      <c r="AZ58" s="74"/>
      <c r="BA58" s="74"/>
      <c r="BQ58" s="72"/>
      <c r="BU58" s="74"/>
      <c r="BV58" s="74"/>
    </row>
    <row r="59" spans="1:179" s="57" customFormat="1" ht="11.25" customHeight="1" x14ac:dyDescent="0.15">
      <c r="A59" s="86"/>
      <c r="B59" s="54"/>
      <c r="C59" s="54"/>
      <c r="D59" s="44"/>
      <c r="E59" s="44"/>
      <c r="F59" s="44"/>
      <c r="G59" s="44"/>
      <c r="H59" s="44"/>
      <c r="I59" s="44"/>
      <c r="J59" s="64"/>
      <c r="K59" s="44"/>
      <c r="L59" s="44"/>
      <c r="M59" s="44"/>
      <c r="N59" s="44"/>
      <c r="O59" s="65"/>
      <c r="P59" s="44"/>
      <c r="Q59" s="44"/>
      <c r="R59" s="44"/>
      <c r="S59" s="44"/>
      <c r="T59" s="44"/>
      <c r="U59" s="44"/>
      <c r="V59" s="44"/>
      <c r="W59" s="44"/>
      <c r="X59" s="44"/>
      <c r="Y59" s="65"/>
      <c r="Z59" s="65"/>
      <c r="AA59" s="65"/>
      <c r="AB59" s="55"/>
      <c r="AC59" s="55"/>
      <c r="AD59" s="55"/>
      <c r="AE59" s="55"/>
      <c r="AF59" s="55"/>
      <c r="AG59" s="55"/>
      <c r="AH59" s="55"/>
      <c r="AI59" s="55"/>
      <c r="AJ59" s="55"/>
      <c r="AK59" s="55"/>
      <c r="AL59" s="55"/>
      <c r="AM59" s="55"/>
      <c r="AN59" s="55"/>
      <c r="AV59" s="65"/>
      <c r="AZ59" s="66"/>
      <c r="BA59" s="66"/>
      <c r="BQ59" s="65"/>
      <c r="BU59" s="66"/>
      <c r="BV59" s="66"/>
    </row>
    <row r="60" spans="1:179" s="57" customFormat="1" ht="11.25" customHeight="1" x14ac:dyDescent="0.15">
      <c r="A60" s="54"/>
      <c r="B60" s="281"/>
      <c r="C60" s="54"/>
      <c r="D60" s="44"/>
      <c r="E60" s="44"/>
      <c r="F60" s="44"/>
      <c r="G60" s="44"/>
      <c r="H60" s="44"/>
      <c r="I60" s="44"/>
      <c r="J60" s="64"/>
      <c r="K60" s="44"/>
      <c r="L60" s="44"/>
      <c r="M60" s="44"/>
      <c r="N60" s="44"/>
      <c r="O60" s="65"/>
      <c r="P60" s="44"/>
      <c r="Q60" s="44"/>
      <c r="R60" s="44"/>
      <c r="S60" s="44"/>
      <c r="T60" s="44"/>
      <c r="U60" s="44"/>
      <c r="V60" s="44"/>
      <c r="W60" s="44"/>
      <c r="X60" s="44"/>
      <c r="Y60" s="65"/>
      <c r="Z60" s="65"/>
      <c r="AA60" s="65"/>
      <c r="AB60" s="55"/>
      <c r="AC60" s="55"/>
      <c r="AD60" s="55"/>
      <c r="AE60" s="55"/>
      <c r="AF60" s="55"/>
      <c r="AG60" s="55"/>
      <c r="AH60" s="55"/>
      <c r="AI60" s="55"/>
      <c r="AJ60" s="55"/>
      <c r="AK60" s="55"/>
      <c r="AL60" s="55"/>
      <c r="AM60" s="55"/>
      <c r="AN60" s="55"/>
      <c r="AV60" s="65"/>
      <c r="AZ60" s="66"/>
      <c r="BA60" s="66"/>
      <c r="BQ60" s="65"/>
      <c r="BU60" s="66"/>
      <c r="BV60" s="66"/>
    </row>
    <row r="61" spans="1:179" s="57" customFormat="1" ht="11.25" customHeight="1" x14ac:dyDescent="0.15">
      <c r="A61" s="54"/>
      <c r="B61" s="281"/>
      <c r="C61" s="54"/>
      <c r="D61" s="44"/>
      <c r="E61" s="44"/>
      <c r="F61" s="44"/>
      <c r="G61" s="44"/>
      <c r="H61" s="44"/>
      <c r="I61" s="44"/>
      <c r="J61" s="64"/>
      <c r="K61" s="44"/>
      <c r="L61" s="44"/>
      <c r="M61" s="44"/>
      <c r="N61" s="44"/>
      <c r="O61" s="65"/>
      <c r="P61" s="44"/>
      <c r="Q61" s="44"/>
      <c r="R61" s="44"/>
      <c r="S61" s="44"/>
      <c r="T61" s="44"/>
      <c r="U61" s="44"/>
      <c r="V61" s="44"/>
      <c r="W61" s="44"/>
      <c r="X61" s="44"/>
      <c r="Y61" s="65"/>
      <c r="Z61" s="65"/>
      <c r="AA61" s="65"/>
      <c r="AB61" s="55"/>
      <c r="AC61" s="55"/>
      <c r="AD61" s="55"/>
      <c r="AE61" s="55"/>
      <c r="AF61" s="55"/>
      <c r="AG61" s="55"/>
      <c r="AH61" s="55"/>
      <c r="AI61" s="55"/>
      <c r="AJ61" s="55"/>
      <c r="AK61" s="55"/>
      <c r="AL61" s="55"/>
      <c r="AM61" s="55"/>
      <c r="AN61" s="55"/>
      <c r="AV61" s="65"/>
      <c r="AZ61" s="66"/>
      <c r="BA61" s="66"/>
      <c r="BQ61" s="65"/>
      <c r="BU61" s="66"/>
      <c r="BV61" s="66"/>
    </row>
    <row r="62" spans="1:179" s="57" customFormat="1" ht="11.25" customHeight="1" x14ac:dyDescent="0.15">
      <c r="A62" s="54"/>
      <c r="B62" s="54"/>
      <c r="C62" s="54"/>
      <c r="D62" s="44"/>
      <c r="E62" s="44"/>
      <c r="F62" s="44"/>
      <c r="G62" s="44"/>
      <c r="H62" s="44"/>
      <c r="I62" s="44"/>
      <c r="J62" s="64" t="s">
        <v>40</v>
      </c>
      <c r="K62" s="44"/>
      <c r="L62" s="44"/>
      <c r="M62" s="44"/>
      <c r="N62" s="44"/>
      <c r="O62" s="65"/>
      <c r="P62" s="44"/>
      <c r="Q62" s="44"/>
      <c r="R62" s="44"/>
      <c r="S62" s="44"/>
      <c r="T62" s="44"/>
      <c r="U62" s="44"/>
      <c r="V62" s="44"/>
      <c r="W62" s="44"/>
      <c r="X62" s="44"/>
      <c r="Y62" s="65"/>
      <c r="Z62" s="65"/>
      <c r="AA62" s="65"/>
      <c r="AB62" s="55"/>
      <c r="AC62" s="55"/>
      <c r="AD62" s="73"/>
      <c r="AE62" s="55"/>
      <c r="AF62" s="55"/>
      <c r="AG62" s="55"/>
      <c r="AH62" s="55"/>
      <c r="AI62" s="55"/>
      <c r="AJ62" s="55"/>
      <c r="AK62" s="55"/>
      <c r="AL62" s="55"/>
      <c r="AM62" s="55"/>
      <c r="AN62" s="55"/>
      <c r="AV62" s="65"/>
      <c r="AY62" s="74"/>
      <c r="BQ62" s="65"/>
      <c r="BT62" s="74"/>
    </row>
    <row r="63" spans="1:179" s="57" customFormat="1" ht="11.25" customHeight="1" x14ac:dyDescent="0.15">
      <c r="A63" s="54"/>
      <c r="B63" s="54"/>
      <c r="C63" s="54"/>
      <c r="D63" s="44"/>
      <c r="E63" s="44"/>
      <c r="F63" s="44"/>
      <c r="G63" s="44"/>
      <c r="H63" s="44"/>
      <c r="I63" s="44"/>
      <c r="J63" s="78" t="s">
        <v>40</v>
      </c>
      <c r="K63" s="44"/>
      <c r="L63" s="44"/>
      <c r="M63" s="44"/>
      <c r="N63" s="44"/>
      <c r="O63" s="53"/>
      <c r="P63" s="44"/>
      <c r="Q63" s="44"/>
      <c r="R63" s="44"/>
      <c r="S63" s="44"/>
      <c r="T63" s="44"/>
      <c r="U63" s="44"/>
      <c r="V63" s="44"/>
      <c r="W63" s="44"/>
      <c r="X63" s="44"/>
      <c r="Y63" s="53"/>
      <c r="Z63" s="53"/>
      <c r="AA63" s="53"/>
      <c r="AB63" s="54"/>
      <c r="AC63" s="55"/>
      <c r="AD63" s="55"/>
      <c r="AE63" s="55"/>
      <c r="AF63" s="79"/>
      <c r="AG63" s="55"/>
      <c r="AH63" s="55"/>
      <c r="AI63" s="55"/>
      <c r="AJ63" s="55"/>
      <c r="AK63" s="55"/>
      <c r="AL63" s="55"/>
      <c r="AM63" s="55"/>
      <c r="AN63" s="55"/>
      <c r="AO63" s="56"/>
      <c r="AP63" s="56"/>
      <c r="AQ63" s="56"/>
      <c r="AR63" s="56"/>
      <c r="AS63" s="56"/>
      <c r="AT63" s="56"/>
      <c r="AU63" s="56"/>
      <c r="AV63" s="53"/>
      <c r="AW63" s="56"/>
      <c r="AX63" s="56"/>
      <c r="AZ63" s="58"/>
      <c r="BA63" s="58"/>
      <c r="BB63" s="56"/>
      <c r="BC63" s="56"/>
      <c r="BD63" s="56"/>
      <c r="BE63" s="56"/>
      <c r="BF63" s="56"/>
      <c r="BG63" s="56"/>
      <c r="BH63" s="56"/>
      <c r="BI63" s="56"/>
      <c r="BJ63" s="56"/>
      <c r="BK63" s="56"/>
      <c r="BL63" s="56"/>
      <c r="BM63" s="56"/>
      <c r="BN63" s="56"/>
      <c r="BO63" s="56"/>
      <c r="BP63" s="56"/>
      <c r="BQ63" s="53"/>
      <c r="BR63" s="56"/>
      <c r="BS63" s="56"/>
      <c r="BU63" s="58"/>
      <c r="BV63" s="58"/>
      <c r="BW63" s="56"/>
      <c r="BX63" s="56"/>
      <c r="BY63" s="56"/>
      <c r="BZ63" s="56"/>
      <c r="CA63" s="56"/>
      <c r="CB63" s="56"/>
      <c r="CC63" s="56"/>
      <c r="CD63" s="56"/>
      <c r="CE63" s="56"/>
      <c r="CF63" s="56"/>
      <c r="CG63" s="56"/>
      <c r="CH63" s="56"/>
      <c r="CI63" s="56"/>
      <c r="CJ63" s="56"/>
      <c r="CK63" s="56"/>
    </row>
    <row r="64" spans="1:179" s="57" customFormat="1" ht="11.25" customHeight="1" x14ac:dyDescent="0.15">
      <c r="A64" s="54"/>
      <c r="B64" s="281"/>
      <c r="C64" s="54"/>
      <c r="D64" s="44"/>
      <c r="E64" s="44"/>
      <c r="F64" s="44"/>
      <c r="G64" s="44"/>
      <c r="H64" s="44"/>
      <c r="I64" s="44"/>
      <c r="J64" s="78"/>
      <c r="K64" s="44"/>
      <c r="L64" s="44"/>
      <c r="M64" s="44"/>
      <c r="N64" s="44"/>
      <c r="O64" s="53"/>
      <c r="P64" s="44"/>
      <c r="Q64" s="44"/>
      <c r="R64" s="44"/>
      <c r="S64" s="44"/>
      <c r="T64" s="44"/>
      <c r="U64" s="44"/>
      <c r="V64" s="44"/>
      <c r="W64" s="44"/>
      <c r="X64" s="44"/>
      <c r="Y64" s="53"/>
      <c r="Z64" s="53"/>
      <c r="AA64" s="53"/>
      <c r="AB64" s="54"/>
      <c r="AC64" s="55"/>
      <c r="AD64" s="55"/>
      <c r="AE64" s="55"/>
      <c r="AF64" s="79"/>
      <c r="AG64" s="55"/>
      <c r="AH64" s="55"/>
      <c r="AI64" s="55"/>
      <c r="AJ64" s="55"/>
      <c r="AK64" s="55"/>
      <c r="AL64" s="55"/>
      <c r="AM64" s="55"/>
      <c r="AN64" s="55"/>
      <c r="AO64" s="56"/>
      <c r="AP64" s="56"/>
      <c r="AQ64" s="56"/>
      <c r="AR64" s="56"/>
      <c r="AS64" s="56"/>
      <c r="AT64" s="56"/>
      <c r="AU64" s="56"/>
      <c r="AV64" s="53"/>
      <c r="AW64" s="56"/>
      <c r="AX64" s="56"/>
      <c r="AZ64" s="58"/>
      <c r="BA64" s="58"/>
      <c r="BB64" s="56"/>
      <c r="BC64" s="56"/>
      <c r="BD64" s="56"/>
      <c r="BE64" s="56"/>
      <c r="BF64" s="56"/>
      <c r="BG64" s="56"/>
      <c r="BH64" s="56"/>
      <c r="BI64" s="56"/>
      <c r="BJ64" s="56"/>
      <c r="BK64" s="56"/>
      <c r="BL64" s="56"/>
      <c r="BM64" s="56"/>
      <c r="BN64" s="56"/>
      <c r="BO64" s="56"/>
      <c r="BP64" s="56"/>
      <c r="BQ64" s="53"/>
      <c r="BR64" s="56"/>
      <c r="BS64" s="56"/>
      <c r="BU64" s="58"/>
      <c r="BV64" s="58"/>
      <c r="BW64" s="56"/>
      <c r="BX64" s="56"/>
      <c r="BY64" s="56"/>
      <c r="BZ64" s="56"/>
      <c r="CA64" s="56"/>
      <c r="CB64" s="56"/>
      <c r="CC64" s="56"/>
      <c r="CD64" s="56"/>
      <c r="CE64" s="56"/>
      <c r="CF64" s="56"/>
      <c r="CG64" s="56"/>
      <c r="CH64" s="56"/>
      <c r="CI64" s="56"/>
      <c r="CJ64" s="56"/>
      <c r="CK64" s="56"/>
    </row>
    <row r="65" spans="1:89" x14ac:dyDescent="0.2">
      <c r="A65" s="54"/>
      <c r="B65" s="54"/>
      <c r="C65" s="54"/>
      <c r="J65" s="80" t="s">
        <v>40</v>
      </c>
      <c r="O65" s="81"/>
      <c r="Y65" s="81"/>
      <c r="Z65" s="81"/>
      <c r="AA65" s="81"/>
      <c r="AB65" s="82"/>
      <c r="AC65" s="83"/>
      <c r="AD65" s="83"/>
      <c r="AE65" s="83"/>
      <c r="AF65" s="83"/>
      <c r="AG65" s="83"/>
      <c r="AH65" s="83"/>
      <c r="AI65" s="83"/>
      <c r="AJ65" s="83"/>
      <c r="AK65" s="83"/>
      <c r="AL65" s="83"/>
      <c r="AM65" s="83"/>
      <c r="AN65" s="83"/>
      <c r="AV65" s="81"/>
      <c r="BQ65" s="81"/>
    </row>
    <row r="66" spans="1:89" s="57" customFormat="1" ht="11.25" customHeight="1" x14ac:dyDescent="0.15">
      <c r="A66" s="54"/>
      <c r="B66" s="54"/>
      <c r="C66" s="54"/>
      <c r="D66" s="44"/>
      <c r="E66" s="44"/>
      <c r="F66" s="44"/>
      <c r="G66" s="44"/>
      <c r="H66" s="44"/>
      <c r="I66" s="44"/>
      <c r="J66" s="64" t="s">
        <v>40</v>
      </c>
      <c r="K66" s="44"/>
      <c r="L66" s="44"/>
      <c r="M66" s="44"/>
      <c r="N66" s="44"/>
      <c r="O66" s="65"/>
      <c r="P66" s="44"/>
      <c r="Q66" s="44"/>
      <c r="R66" s="44"/>
      <c r="S66" s="44"/>
      <c r="T66" s="44"/>
      <c r="U66" s="44"/>
      <c r="V66" s="44"/>
      <c r="W66" s="44"/>
      <c r="X66" s="44"/>
      <c r="Y66" s="65"/>
      <c r="Z66" s="65"/>
      <c r="AA66" s="65"/>
      <c r="AB66" s="55"/>
      <c r="AC66" s="55"/>
      <c r="AD66" s="55"/>
      <c r="AE66" s="55"/>
      <c r="AF66" s="55"/>
      <c r="AG66" s="55"/>
      <c r="AH66" s="55"/>
      <c r="AI66" s="55"/>
      <c r="AJ66" s="55"/>
      <c r="AK66" s="55"/>
      <c r="AL66" s="55"/>
      <c r="AM66" s="55"/>
      <c r="AN66" s="55"/>
      <c r="AV66" s="65"/>
      <c r="AY66" s="74"/>
      <c r="BQ66" s="65"/>
      <c r="BT66" s="74"/>
    </row>
    <row r="67" spans="1:89" s="57" customFormat="1" ht="11.25" customHeight="1" x14ac:dyDescent="0.15">
      <c r="A67" s="54"/>
      <c r="B67" s="54"/>
      <c r="C67" s="54"/>
      <c r="D67" s="44"/>
      <c r="E67" s="44"/>
      <c r="F67" s="44"/>
      <c r="G67" s="44"/>
      <c r="H67" s="44"/>
      <c r="I67" s="44"/>
      <c r="J67" s="64" t="s">
        <v>40</v>
      </c>
      <c r="K67" s="44"/>
      <c r="L67" s="44"/>
      <c r="M67" s="44"/>
      <c r="N67" s="44"/>
      <c r="O67" s="65"/>
      <c r="P67" s="44"/>
      <c r="Q67" s="44"/>
      <c r="R67" s="44"/>
      <c r="S67" s="44"/>
      <c r="T67" s="44"/>
      <c r="U67" s="44"/>
      <c r="V67" s="44"/>
      <c r="W67" s="44"/>
      <c r="X67" s="44"/>
      <c r="Y67" s="65"/>
      <c r="Z67" s="65"/>
      <c r="AA67" s="65"/>
      <c r="AB67" s="55"/>
      <c r="AC67" s="55"/>
      <c r="AD67" s="55"/>
      <c r="AE67" s="55"/>
      <c r="AF67" s="55"/>
      <c r="AG67" s="55"/>
      <c r="AH67" s="55"/>
      <c r="AI67" s="55"/>
      <c r="AJ67" s="55"/>
      <c r="AK67" s="55"/>
      <c r="AL67" s="55"/>
      <c r="AM67" s="55"/>
      <c r="AN67" s="55"/>
      <c r="AV67" s="65"/>
      <c r="BQ67" s="65"/>
    </row>
    <row r="68" spans="1:89" s="57" customFormat="1" ht="11.25" customHeight="1" x14ac:dyDescent="0.15">
      <c r="A68" s="54"/>
      <c r="B68" s="281"/>
      <c r="C68" s="54"/>
      <c r="D68" s="44"/>
      <c r="E68" s="44"/>
      <c r="F68" s="44"/>
      <c r="G68" s="44"/>
      <c r="H68" s="44"/>
      <c r="I68" s="44"/>
      <c r="J68" s="64"/>
      <c r="K68" s="44"/>
      <c r="L68" s="44"/>
      <c r="M68" s="44"/>
      <c r="N68" s="44"/>
      <c r="O68" s="65"/>
      <c r="P68" s="44"/>
      <c r="Q68" s="44"/>
      <c r="R68" s="44"/>
      <c r="S68" s="44"/>
      <c r="T68" s="44"/>
      <c r="U68" s="44"/>
      <c r="V68" s="44"/>
      <c r="W68" s="44"/>
      <c r="X68" s="44"/>
      <c r="Y68" s="65"/>
      <c r="Z68" s="65"/>
      <c r="AA68" s="65"/>
      <c r="AB68" s="55"/>
      <c r="AC68" s="55"/>
      <c r="AD68" s="55"/>
      <c r="AE68" s="55"/>
      <c r="AF68" s="55"/>
      <c r="AG68" s="55"/>
      <c r="AH68" s="55"/>
      <c r="AI68" s="55"/>
      <c r="AJ68" s="55"/>
      <c r="AK68" s="55"/>
      <c r="AL68" s="55"/>
      <c r="AM68" s="55"/>
      <c r="AN68" s="55"/>
      <c r="AV68" s="65"/>
      <c r="BQ68" s="65"/>
    </row>
    <row r="69" spans="1:89" s="57" customFormat="1" ht="11.25" customHeight="1" x14ac:dyDescent="0.15">
      <c r="A69" s="54"/>
      <c r="B69" s="54"/>
      <c r="C69" s="54"/>
      <c r="D69" s="44"/>
      <c r="E69" s="44"/>
      <c r="F69" s="44"/>
      <c r="G69" s="44"/>
      <c r="H69" s="44"/>
      <c r="I69" s="44"/>
      <c r="J69" s="78"/>
      <c r="K69" s="44"/>
      <c r="L69" s="44"/>
      <c r="M69" s="44"/>
      <c r="N69" s="44"/>
      <c r="O69" s="53"/>
      <c r="P69" s="44"/>
      <c r="Q69" s="44"/>
      <c r="R69" s="44"/>
      <c r="S69" s="44"/>
      <c r="T69" s="44"/>
      <c r="U69" s="44"/>
      <c r="V69" s="44"/>
      <c r="W69" s="44"/>
      <c r="X69" s="44"/>
      <c r="Y69" s="53"/>
      <c r="Z69" s="53"/>
      <c r="AA69" s="53"/>
      <c r="AB69" s="54"/>
      <c r="AC69" s="55"/>
      <c r="AD69" s="55"/>
      <c r="AE69" s="55"/>
      <c r="AF69" s="79"/>
      <c r="AG69" s="55"/>
      <c r="AH69" s="55"/>
      <c r="AI69" s="55"/>
      <c r="AJ69" s="55"/>
      <c r="AK69" s="55"/>
      <c r="AL69" s="55"/>
      <c r="AM69" s="55"/>
      <c r="AN69" s="55"/>
      <c r="AO69" s="56"/>
      <c r="AP69" s="56"/>
      <c r="AQ69" s="56"/>
      <c r="AR69" s="56"/>
      <c r="AS69" s="56"/>
      <c r="AT69" s="56"/>
      <c r="AU69" s="56"/>
      <c r="AV69" s="53"/>
      <c r="AW69" s="56"/>
      <c r="AX69" s="56"/>
      <c r="AZ69" s="58"/>
      <c r="BA69" s="58"/>
      <c r="BB69" s="56"/>
      <c r="BC69" s="56"/>
      <c r="BD69" s="56"/>
      <c r="BE69" s="56"/>
      <c r="BF69" s="56"/>
      <c r="BG69" s="56"/>
      <c r="BH69" s="56"/>
      <c r="BI69" s="56"/>
      <c r="BJ69" s="56"/>
      <c r="BK69" s="56"/>
      <c r="BL69" s="56"/>
      <c r="BM69" s="56"/>
      <c r="BN69" s="56"/>
      <c r="BO69" s="56"/>
      <c r="BP69" s="56"/>
      <c r="BQ69" s="53"/>
      <c r="BR69" s="56"/>
      <c r="BS69" s="56"/>
      <c r="BU69" s="58"/>
      <c r="BV69" s="58"/>
      <c r="BW69" s="56"/>
      <c r="BX69" s="56"/>
      <c r="BY69" s="56"/>
      <c r="BZ69" s="56"/>
      <c r="CA69" s="56"/>
      <c r="CB69" s="56"/>
      <c r="CC69" s="56"/>
      <c r="CD69" s="56"/>
      <c r="CE69" s="56"/>
      <c r="CF69" s="56"/>
      <c r="CG69" s="56"/>
      <c r="CH69" s="56"/>
      <c r="CI69" s="56"/>
      <c r="CJ69" s="56"/>
      <c r="CK69" s="56"/>
    </row>
    <row r="70" spans="1:89" s="57" customFormat="1" ht="11.25" customHeight="1" x14ac:dyDescent="0.15">
      <c r="A70" s="86"/>
      <c r="B70" s="54"/>
      <c r="C70" s="54"/>
      <c r="D70" s="44"/>
      <c r="E70" s="44"/>
      <c r="F70" s="44"/>
      <c r="G70" s="44"/>
      <c r="H70" s="44"/>
      <c r="I70" s="44"/>
      <c r="J70" s="78"/>
      <c r="K70" s="44"/>
      <c r="L70" s="44"/>
      <c r="M70" s="44"/>
      <c r="N70" s="44"/>
      <c r="O70" s="53"/>
      <c r="P70" s="44"/>
      <c r="Q70" s="44"/>
      <c r="R70" s="44"/>
      <c r="S70" s="44"/>
      <c r="T70" s="44"/>
      <c r="U70" s="44"/>
      <c r="V70" s="44"/>
      <c r="W70" s="44"/>
      <c r="X70" s="44"/>
      <c r="Y70" s="53"/>
      <c r="Z70" s="53"/>
      <c r="AA70" s="53"/>
      <c r="AB70" s="54"/>
      <c r="AC70" s="55"/>
      <c r="AD70" s="55"/>
      <c r="AE70" s="55"/>
      <c r="AF70" s="79"/>
      <c r="AG70" s="55"/>
      <c r="AH70" s="55"/>
      <c r="AI70" s="55"/>
      <c r="AJ70" s="55"/>
      <c r="AK70" s="55"/>
      <c r="AL70" s="55"/>
      <c r="AM70" s="55"/>
      <c r="AN70" s="55"/>
      <c r="AO70" s="56"/>
      <c r="AP70" s="56"/>
      <c r="AQ70" s="56"/>
      <c r="AR70" s="56"/>
      <c r="AS70" s="56"/>
      <c r="AT70" s="56"/>
      <c r="AU70" s="56"/>
      <c r="AV70" s="53"/>
      <c r="AW70" s="56"/>
      <c r="AX70" s="56"/>
      <c r="AZ70" s="58"/>
      <c r="BA70" s="58"/>
      <c r="BB70" s="56"/>
      <c r="BC70" s="56"/>
      <c r="BD70" s="56"/>
      <c r="BE70" s="56"/>
      <c r="BF70" s="56"/>
      <c r="BG70" s="56"/>
      <c r="BH70" s="56"/>
      <c r="BI70" s="56"/>
      <c r="BJ70" s="56"/>
      <c r="BK70" s="56"/>
      <c r="BL70" s="56"/>
      <c r="BM70" s="56"/>
      <c r="BN70" s="56"/>
      <c r="BO70" s="56"/>
      <c r="BP70" s="56"/>
      <c r="BQ70" s="53"/>
      <c r="BR70" s="56"/>
      <c r="BS70" s="56"/>
      <c r="BU70" s="58"/>
      <c r="BV70" s="58"/>
      <c r="BW70" s="56"/>
      <c r="BX70" s="56"/>
      <c r="BY70" s="56"/>
      <c r="BZ70" s="56"/>
      <c r="CA70" s="56"/>
      <c r="CB70" s="56"/>
      <c r="CC70" s="56"/>
      <c r="CD70" s="56"/>
      <c r="CE70" s="56"/>
      <c r="CF70" s="56"/>
      <c r="CG70" s="56"/>
      <c r="CH70" s="56"/>
      <c r="CI70" s="56"/>
      <c r="CJ70" s="56"/>
      <c r="CK70" s="56"/>
    </row>
    <row r="71" spans="1:89" s="57" customFormat="1" ht="11.25" customHeight="1" x14ac:dyDescent="0.15">
      <c r="A71" s="282"/>
      <c r="B71" s="54"/>
      <c r="C71" s="54"/>
      <c r="D71" s="44"/>
      <c r="E71" s="44"/>
      <c r="F71" s="44"/>
      <c r="G71" s="44"/>
      <c r="H71" s="44"/>
      <c r="I71" s="44"/>
      <c r="J71" s="64" t="s">
        <v>40</v>
      </c>
      <c r="K71" s="44"/>
      <c r="L71" s="44"/>
      <c r="M71" s="44"/>
      <c r="N71" s="44"/>
      <c r="O71" s="65"/>
      <c r="P71" s="44"/>
      <c r="Q71" s="44"/>
      <c r="R71" s="44"/>
      <c r="S71" s="44"/>
      <c r="T71" s="44"/>
      <c r="U71" s="44"/>
      <c r="V71" s="44"/>
      <c r="W71" s="44"/>
      <c r="X71" s="44"/>
      <c r="Y71" s="65"/>
      <c r="Z71" s="65"/>
      <c r="AA71" s="65"/>
      <c r="AB71" s="55"/>
      <c r="AC71" s="55"/>
      <c r="AD71" s="73"/>
      <c r="AE71" s="55"/>
      <c r="AF71" s="55"/>
      <c r="AG71" s="55"/>
      <c r="AH71" s="55"/>
      <c r="AI71" s="55"/>
      <c r="AJ71" s="55"/>
      <c r="AK71" s="55"/>
      <c r="AL71" s="55"/>
      <c r="AM71" s="55"/>
      <c r="AN71" s="55"/>
      <c r="AV71" s="65"/>
      <c r="BQ71" s="65"/>
    </row>
    <row r="72" spans="1:89" x14ac:dyDescent="0.2">
      <c r="A72" s="283"/>
      <c r="B72" s="56"/>
      <c r="C72" s="56"/>
      <c r="J72" s="80" t="s">
        <v>40</v>
      </c>
      <c r="O72" s="81"/>
      <c r="Y72" s="81"/>
      <c r="Z72" s="81"/>
      <c r="AA72" s="81"/>
      <c r="AV72" s="81"/>
      <c r="BQ72" s="81"/>
    </row>
    <row r="73" spans="1:89" x14ac:dyDescent="0.2">
      <c r="A73" s="54"/>
      <c r="B73" s="54"/>
      <c r="C73" s="280"/>
      <c r="J73" s="80" t="s">
        <v>40</v>
      </c>
      <c r="O73" s="81"/>
      <c r="Y73" s="81"/>
      <c r="Z73" s="81"/>
      <c r="AA73" s="81"/>
      <c r="AB73" s="83"/>
      <c r="AC73" s="83"/>
      <c r="AD73" s="83"/>
      <c r="AE73" s="83"/>
      <c r="AF73" s="83"/>
      <c r="AG73" s="83"/>
      <c r="AH73" s="83"/>
      <c r="AI73" s="83"/>
      <c r="AJ73" s="83"/>
      <c r="AK73" s="83"/>
      <c r="AL73" s="83"/>
      <c r="AM73" s="83"/>
      <c r="AN73" s="83"/>
      <c r="AV73" s="81"/>
      <c r="BQ73" s="81"/>
    </row>
    <row r="74" spans="1:89" x14ac:dyDescent="0.2">
      <c r="A74" s="54"/>
      <c r="B74" s="56"/>
      <c r="C74" s="54"/>
      <c r="J74" s="80" t="s">
        <v>40</v>
      </c>
      <c r="O74" s="81"/>
      <c r="Y74" s="81"/>
      <c r="Z74" s="81"/>
      <c r="AA74" s="81"/>
      <c r="AB74" s="83"/>
      <c r="AC74" s="83"/>
      <c r="AD74" s="83"/>
      <c r="AV74" s="81"/>
      <c r="BQ74" s="81"/>
    </row>
    <row r="75" spans="1:89" x14ac:dyDescent="0.2">
      <c r="A75" s="54"/>
      <c r="B75" s="56"/>
      <c r="C75" s="54"/>
      <c r="J75" s="80"/>
      <c r="O75" s="81"/>
      <c r="Y75" s="81"/>
      <c r="Z75" s="81"/>
      <c r="AA75" s="81"/>
      <c r="AB75" s="83"/>
      <c r="AC75" s="83"/>
      <c r="AD75" s="83"/>
      <c r="AV75" s="81"/>
      <c r="BQ75" s="81"/>
    </row>
    <row r="76" spans="1:89" x14ac:dyDescent="0.2">
      <c r="A76" s="43"/>
      <c r="B76" s="44"/>
      <c r="C76" s="44"/>
      <c r="J76" s="64" t="s">
        <v>40</v>
      </c>
      <c r="O76" s="84"/>
      <c r="Y76" s="84"/>
      <c r="Z76" s="84"/>
      <c r="AA76" s="84"/>
      <c r="AV76" s="84"/>
      <c r="BQ76" s="84"/>
    </row>
    <row r="77" spans="1:89" s="57" customFormat="1" ht="11.25" customHeight="1" x14ac:dyDescent="0.15">
      <c r="A77" s="282"/>
      <c r="B77" s="54"/>
      <c r="C77" s="54"/>
      <c r="D77" s="44"/>
      <c r="E77" s="44"/>
      <c r="F77" s="44"/>
      <c r="G77" s="44"/>
      <c r="H77" s="44"/>
      <c r="I77" s="44"/>
      <c r="J77" s="64" t="s">
        <v>40</v>
      </c>
      <c r="K77" s="44"/>
      <c r="L77" s="44"/>
      <c r="M77" s="44"/>
      <c r="N77" s="44"/>
      <c r="O77" s="72"/>
      <c r="P77" s="44"/>
      <c r="Q77" s="44"/>
      <c r="R77" s="44"/>
      <c r="S77" s="44"/>
      <c r="T77" s="44"/>
      <c r="U77" s="44"/>
      <c r="V77" s="44"/>
      <c r="W77" s="44"/>
      <c r="X77" s="44"/>
      <c r="Y77" s="72"/>
      <c r="Z77" s="72"/>
      <c r="AA77" s="72"/>
      <c r="AB77" s="55"/>
      <c r="AC77" s="55"/>
      <c r="AD77" s="55"/>
      <c r="AE77" s="55"/>
      <c r="AF77" s="55"/>
      <c r="AG77" s="55"/>
      <c r="AH77" s="55"/>
      <c r="AI77" s="55"/>
      <c r="AJ77" s="55"/>
      <c r="AK77" s="55"/>
      <c r="AL77" s="55"/>
      <c r="AM77" s="55"/>
      <c r="AN77" s="55"/>
      <c r="AV77" s="72"/>
      <c r="BQ77" s="72"/>
    </row>
    <row r="78" spans="1:89" x14ac:dyDescent="0.2">
      <c r="B78" s="44"/>
      <c r="C78" s="44"/>
      <c r="J78" s="78" t="s">
        <v>40</v>
      </c>
      <c r="O78" s="81"/>
      <c r="Y78" s="81"/>
      <c r="Z78" s="81"/>
      <c r="AA78" s="81"/>
      <c r="AV78" s="81"/>
      <c r="BQ78" s="81"/>
    </row>
    <row r="79" spans="1:89" x14ac:dyDescent="0.2">
      <c r="J79" s="64" t="s">
        <v>40</v>
      </c>
      <c r="O79" s="81"/>
      <c r="Y79" s="81"/>
      <c r="Z79" s="81"/>
      <c r="AA79" s="81"/>
      <c r="AV79" s="81"/>
      <c r="BQ79" s="81"/>
    </row>
    <row r="80" spans="1:89" x14ac:dyDescent="0.2">
      <c r="J80" s="64" t="s">
        <v>40</v>
      </c>
      <c r="O80" s="85"/>
      <c r="Y80" s="85"/>
      <c r="Z80" s="85"/>
      <c r="AA80" s="85"/>
      <c r="AV80" s="85"/>
      <c r="BQ80" s="85"/>
    </row>
    <row r="81" spans="1:69" x14ac:dyDescent="0.2">
      <c r="J81" s="64" t="s">
        <v>40</v>
      </c>
      <c r="L81" s="43"/>
      <c r="M81" s="43" t="s">
        <v>53</v>
      </c>
      <c r="O81" s="81"/>
      <c r="Y81" s="81"/>
      <c r="Z81" s="81"/>
      <c r="AA81" s="81"/>
      <c r="AV81" s="81"/>
      <c r="BQ81" s="81"/>
    </row>
    <row r="82" spans="1:69" x14ac:dyDescent="0.2">
      <c r="J82" s="64" t="s">
        <v>40</v>
      </c>
    </row>
    <row r="83" spans="1:69" x14ac:dyDescent="0.2">
      <c r="J83" s="64" t="s">
        <v>40</v>
      </c>
    </row>
    <row r="84" spans="1:69" x14ac:dyDescent="0.2">
      <c r="C84" s="43" t="s">
        <v>240</v>
      </c>
      <c r="J84" s="78" t="s">
        <v>40</v>
      </c>
      <c r="M84" s="43" t="s">
        <v>241</v>
      </c>
    </row>
    <row r="85" spans="1:69" x14ac:dyDescent="0.2">
      <c r="J85" s="64" t="s">
        <v>40</v>
      </c>
    </row>
    <row r="86" spans="1:69" x14ac:dyDescent="0.2">
      <c r="J86" s="64" t="s">
        <v>40</v>
      </c>
    </row>
    <row r="87" spans="1:69" x14ac:dyDescent="0.2">
      <c r="J87" s="64" t="s">
        <v>40</v>
      </c>
    </row>
    <row r="88" spans="1:69" x14ac:dyDescent="0.2">
      <c r="A88" s="43"/>
      <c r="J88" s="64" t="s">
        <v>40</v>
      </c>
    </row>
    <row r="89" spans="1:69" x14ac:dyDescent="0.2">
      <c r="J89" s="64" t="s">
        <v>40</v>
      </c>
    </row>
    <row r="90" spans="1:69" x14ac:dyDescent="0.2">
      <c r="J90" s="64" t="s">
        <v>40</v>
      </c>
    </row>
    <row r="91" spans="1:69" x14ac:dyDescent="0.2">
      <c r="J91" s="64" t="s">
        <v>40</v>
      </c>
    </row>
    <row r="92" spans="1:69" x14ac:dyDescent="0.2">
      <c r="J92" s="64" t="s">
        <v>40</v>
      </c>
    </row>
    <row r="93" spans="1:69" x14ac:dyDescent="0.2">
      <c r="J93" s="64" t="s">
        <v>40</v>
      </c>
    </row>
    <row r="94" spans="1:69" x14ac:dyDescent="0.2">
      <c r="J94" s="80" t="s">
        <v>40</v>
      </c>
      <c r="O94" s="43"/>
      <c r="Y94" s="86"/>
      <c r="Z94" s="43"/>
      <c r="AA94" s="86"/>
      <c r="AV94" s="86"/>
      <c r="BQ94" s="86"/>
    </row>
    <row r="95" spans="1:69" x14ac:dyDescent="0.2">
      <c r="J95" s="80" t="s">
        <v>40</v>
      </c>
    </row>
    <row r="96" spans="1:69" x14ac:dyDescent="0.2">
      <c r="J96" s="80"/>
    </row>
    <row r="97" spans="3:69" x14ac:dyDescent="0.2">
      <c r="J97" s="80"/>
    </row>
    <row r="104" spans="3:69" ht="14.25" x14ac:dyDescent="0.2">
      <c r="J104" s="39"/>
      <c r="O104" s="87"/>
      <c r="Y104" s="89"/>
      <c r="Z104" s="41"/>
      <c r="AA104" s="89"/>
      <c r="AB104" s="41"/>
      <c r="AC104" s="41"/>
      <c r="AD104" s="41"/>
      <c r="AV104" s="89"/>
      <c r="BQ104" s="89"/>
    </row>
    <row r="112" spans="3:69" x14ac:dyDescent="0.2">
      <c r="C112" s="43" t="s">
        <v>173</v>
      </c>
    </row>
    <row r="170" spans="12:16" x14ac:dyDescent="0.2">
      <c r="L170" s="44" t="s">
        <v>11</v>
      </c>
      <c r="M170" s="44" t="s">
        <v>12</v>
      </c>
      <c r="N170" s="44">
        <v>2021</v>
      </c>
      <c r="P170" s="44">
        <v>2023</v>
      </c>
    </row>
    <row r="175" spans="12:16" x14ac:dyDescent="0.2">
      <c r="L175" s="43" t="s">
        <v>54</v>
      </c>
    </row>
    <row r="178" spans="12:12" x14ac:dyDescent="0.2">
      <c r="L178" s="43" t="s">
        <v>174</v>
      </c>
    </row>
    <row r="260" spans="2:16" x14ac:dyDescent="0.2">
      <c r="B260" s="44" t="s">
        <v>9</v>
      </c>
      <c r="C260" s="44" t="s">
        <v>8</v>
      </c>
      <c r="D260" s="44" t="s">
        <v>11</v>
      </c>
      <c r="E260" s="44" t="s">
        <v>12</v>
      </c>
      <c r="F260" s="44" t="s">
        <v>188</v>
      </c>
      <c r="G260" s="44" t="s">
        <v>189</v>
      </c>
      <c r="H260" s="44" t="s">
        <v>190</v>
      </c>
      <c r="I260" s="44" t="s">
        <v>187</v>
      </c>
      <c r="J260" s="44" t="s">
        <v>234</v>
      </c>
      <c r="K260" s="44" t="s">
        <v>235</v>
      </c>
      <c r="L260" s="44" t="s">
        <v>236</v>
      </c>
      <c r="M260" s="44" t="s">
        <v>237</v>
      </c>
      <c r="N260" s="44">
        <v>2023</v>
      </c>
      <c r="O260" s="44">
        <v>2024</v>
      </c>
      <c r="P260" s="44">
        <v>2025</v>
      </c>
    </row>
  </sheetData>
  <mergeCells count="13">
    <mergeCell ref="V2:X2"/>
    <mergeCell ref="D4:E4"/>
    <mergeCell ref="D5:E5"/>
    <mergeCell ref="B29:C29"/>
    <mergeCell ref="D29:E29"/>
    <mergeCell ref="P1:S1"/>
    <mergeCell ref="B2:C2"/>
    <mergeCell ref="D2:E2"/>
    <mergeCell ref="A1:A2"/>
    <mergeCell ref="B1:C1"/>
    <mergeCell ref="D1:E1"/>
    <mergeCell ref="F1:I1"/>
    <mergeCell ref="K1:N1"/>
  </mergeCells>
  <conditionalFormatting sqref="AB49:AD49 AG49:AI49 AL49:AN49 AQ49:AS49 BB49:BD49 BG49:BI49 BL49:BN49 BR49:BT49 BW49:BY49 CB49:CD49 CG49:CI49 U49:X49">
    <cfRule type="cellIs" dxfId="47" priority="7" operator="lessThan">
      <formula>0</formula>
    </cfRule>
    <cfRule type="cellIs" dxfId="46" priority="8" operator="greaterThan">
      <formula>0</formula>
    </cfRule>
  </conditionalFormatting>
  <conditionalFormatting sqref="AB49:AD49 AG49:AI49 AL49:AN49 AQ49:AS49 BB49:BD49 BG49:BI49 BL49:BN49 BR49:BT49 BW49:BY49 CB49:CD49 CG49:CI49 AW49:AY49">
    <cfRule type="cellIs" dxfId="45" priority="5" operator="lessThan">
      <formula>0</formula>
    </cfRule>
    <cfRule type="cellIs" dxfId="44" priority="6" operator="greaterThan">
      <formula>0</formula>
    </cfRule>
  </conditionalFormatting>
  <conditionalFormatting sqref="F49:I49 K49:N49 P49:S49">
    <cfRule type="cellIs" dxfId="43" priority="3" operator="lessThan">
      <formula>0</formula>
    </cfRule>
    <cfRule type="cellIs" dxfId="42" priority="4" operator="greaterThan">
      <formula>0</formula>
    </cfRule>
  </conditionalFormatting>
  <conditionalFormatting sqref="F49:I49 K49:N49 P49:S49">
    <cfRule type="cellIs" dxfId="41" priority="1" operator="lessThan">
      <formula>0</formula>
    </cfRule>
    <cfRule type="cellIs" dxfId="40" priority="2" operator="greaterThan">
      <formula>0</formula>
    </cfRule>
  </conditionalFormatting>
  <pageMargins left="0.78740157499999996" right="0.78740157499999996" top="0.984251969" bottom="0.984251969" header="0.4921259845" footer="0.4921259845"/>
  <pageSetup paperSize="9" scale="61" orientation="landscape"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W260"/>
  <sheetViews>
    <sheetView zoomScale="120" zoomScaleNormal="120" workbookViewId="0">
      <pane xSplit="1" topLeftCell="B1" activePane="topRight" state="frozen"/>
      <selection pane="topRight" activeCell="E12" sqref="E12"/>
    </sheetView>
  </sheetViews>
  <sheetFormatPr baseColWidth="10" defaultRowHeight="12.75" x14ac:dyDescent="0.2"/>
  <cols>
    <col min="1" max="1" width="43.42578125" style="44" customWidth="1"/>
    <col min="2" max="3" width="8.140625" style="43" customWidth="1"/>
    <col min="4" max="5" width="8.140625" style="44" customWidth="1"/>
    <col min="6" max="9" width="9.5703125" style="44" customWidth="1"/>
    <col min="10" max="20" width="9.85546875" style="44" customWidth="1"/>
    <col min="21" max="21" width="2.140625" style="44" customWidth="1"/>
    <col min="22" max="24" width="11.140625" style="44" customWidth="1"/>
    <col min="25" max="25" width="2.140625" style="45" customWidth="1"/>
    <col min="26" max="26" width="10.7109375" style="44" customWidth="1"/>
    <col min="27" max="27" width="2.140625" style="45" customWidth="1"/>
    <col min="28" max="42" width="10.7109375" style="46" customWidth="1"/>
    <col min="43" max="47" width="10.7109375" style="41" customWidth="1"/>
    <col min="48" max="48" width="2.140625" style="45" customWidth="1"/>
    <col min="49" max="63" width="10.7109375" style="46" customWidth="1"/>
    <col min="64" max="68" width="10.7109375" style="41" customWidth="1"/>
    <col min="69" max="69" width="2.140625" style="45" customWidth="1"/>
    <col min="70" max="84" width="10.7109375" style="46" customWidth="1"/>
    <col min="85" max="89" width="10.7109375" style="41" customWidth="1"/>
    <col min="90" max="16384" width="11.42578125" style="41"/>
  </cols>
  <sheetData>
    <row r="1" spans="1:179" s="46" customFormat="1" ht="10.5" customHeight="1" x14ac:dyDescent="0.2">
      <c r="A1" s="661" t="s">
        <v>127</v>
      </c>
      <c r="B1" s="663" t="s">
        <v>128</v>
      </c>
      <c r="C1" s="664"/>
      <c r="D1" s="665" t="s">
        <v>108</v>
      </c>
      <c r="E1" s="666"/>
      <c r="F1" s="654" t="s">
        <v>161</v>
      </c>
      <c r="G1" s="655"/>
      <c r="H1" s="655"/>
      <c r="I1" s="656"/>
      <c r="J1" s="90">
        <v>2020</v>
      </c>
      <c r="K1" s="654" t="s">
        <v>185</v>
      </c>
      <c r="L1" s="655"/>
      <c r="M1" s="655"/>
      <c r="N1" s="656"/>
      <c r="O1" s="90">
        <v>2021</v>
      </c>
      <c r="P1" s="654" t="s">
        <v>233</v>
      </c>
      <c r="Q1" s="655"/>
      <c r="R1" s="655"/>
      <c r="S1" s="656"/>
      <c r="T1" s="91">
        <v>2022</v>
      </c>
      <c r="U1" s="94"/>
      <c r="V1" s="644">
        <v>2023</v>
      </c>
      <c r="W1" s="645">
        <v>2024</v>
      </c>
      <c r="X1" s="646">
        <v>2025</v>
      </c>
      <c r="Y1" s="94"/>
      <c r="Z1" s="566" t="s">
        <v>238</v>
      </c>
      <c r="AA1" s="603"/>
      <c r="AB1" s="602">
        <v>2020</v>
      </c>
      <c r="AC1" s="95">
        <v>2020</v>
      </c>
      <c r="AD1" s="95">
        <v>2020</v>
      </c>
      <c r="AE1" s="90" t="s">
        <v>9</v>
      </c>
      <c r="AF1" s="584" t="s">
        <v>9</v>
      </c>
      <c r="AG1" s="602">
        <v>2020</v>
      </c>
      <c r="AH1" s="95">
        <v>2020</v>
      </c>
      <c r="AI1" s="95">
        <v>2020</v>
      </c>
      <c r="AJ1" s="90" t="s">
        <v>8</v>
      </c>
      <c r="AK1" s="584" t="s">
        <v>8</v>
      </c>
      <c r="AL1" s="602">
        <v>2020</v>
      </c>
      <c r="AM1" s="95">
        <v>2020</v>
      </c>
      <c r="AN1" s="95">
        <v>2020</v>
      </c>
      <c r="AO1" s="90" t="s">
        <v>11</v>
      </c>
      <c r="AP1" s="584" t="s">
        <v>11</v>
      </c>
      <c r="AQ1" s="602">
        <v>2020</v>
      </c>
      <c r="AR1" s="95">
        <v>2020</v>
      </c>
      <c r="AS1" s="95">
        <v>2020</v>
      </c>
      <c r="AT1" s="90" t="s">
        <v>12</v>
      </c>
      <c r="AU1" s="584" t="s">
        <v>12</v>
      </c>
      <c r="AV1" s="603"/>
      <c r="AW1" s="602">
        <v>2021</v>
      </c>
      <c r="AX1" s="96">
        <v>2021</v>
      </c>
      <c r="AY1" s="96">
        <v>2021</v>
      </c>
      <c r="AZ1" s="90" t="s">
        <v>188</v>
      </c>
      <c r="BA1" s="584" t="s">
        <v>188</v>
      </c>
      <c r="BB1" s="602">
        <v>2021</v>
      </c>
      <c r="BC1" s="96">
        <v>2021</v>
      </c>
      <c r="BD1" s="96">
        <v>2021</v>
      </c>
      <c r="BE1" s="90" t="s">
        <v>189</v>
      </c>
      <c r="BF1" s="584" t="s">
        <v>189</v>
      </c>
      <c r="BG1" s="602">
        <v>2021</v>
      </c>
      <c r="BH1" s="96">
        <v>2021</v>
      </c>
      <c r="BI1" s="96">
        <v>2021</v>
      </c>
      <c r="BJ1" s="90" t="s">
        <v>190</v>
      </c>
      <c r="BK1" s="584" t="s">
        <v>190</v>
      </c>
      <c r="BL1" s="586">
        <v>2021</v>
      </c>
      <c r="BM1" s="97">
        <v>2021</v>
      </c>
      <c r="BN1" s="97">
        <v>2021</v>
      </c>
      <c r="BO1" s="90" t="s">
        <v>187</v>
      </c>
      <c r="BP1" s="584" t="s">
        <v>187</v>
      </c>
      <c r="BQ1" s="94"/>
      <c r="BR1" s="586">
        <v>2022</v>
      </c>
      <c r="BS1" s="97">
        <v>2022</v>
      </c>
      <c r="BT1" s="97">
        <v>2022</v>
      </c>
      <c r="BU1" s="90" t="s">
        <v>234</v>
      </c>
      <c r="BV1" s="584" t="s">
        <v>234</v>
      </c>
      <c r="BW1" s="586">
        <v>2022</v>
      </c>
      <c r="BX1" s="97">
        <v>2022</v>
      </c>
      <c r="BY1" s="97">
        <v>2022</v>
      </c>
      <c r="BZ1" s="90" t="s">
        <v>235</v>
      </c>
      <c r="CA1" s="584" t="s">
        <v>235</v>
      </c>
      <c r="CB1" s="586">
        <v>2022</v>
      </c>
      <c r="CC1" s="97">
        <v>2022</v>
      </c>
      <c r="CD1" s="97">
        <v>2022</v>
      </c>
      <c r="CE1" s="90" t="s">
        <v>236</v>
      </c>
      <c r="CF1" s="584" t="s">
        <v>236</v>
      </c>
      <c r="CG1" s="586">
        <v>2022</v>
      </c>
      <c r="CH1" s="97">
        <v>2022</v>
      </c>
      <c r="CI1" s="97">
        <v>2022</v>
      </c>
      <c r="CJ1" s="90" t="s">
        <v>237</v>
      </c>
      <c r="CK1" s="584" t="s">
        <v>237</v>
      </c>
    </row>
    <row r="2" spans="1:179" s="46" customFormat="1" ht="10.5" customHeight="1" thickBot="1" x14ac:dyDescent="0.25">
      <c r="A2" s="662"/>
      <c r="B2" s="699" t="s">
        <v>109</v>
      </c>
      <c r="C2" s="700"/>
      <c r="D2" s="659" t="s">
        <v>129</v>
      </c>
      <c r="E2" s="660"/>
      <c r="F2" s="98" t="s">
        <v>215</v>
      </c>
      <c r="G2" s="99" t="s">
        <v>216</v>
      </c>
      <c r="H2" s="99" t="s">
        <v>6</v>
      </c>
      <c r="I2" s="100" t="s">
        <v>7</v>
      </c>
      <c r="J2" s="101" t="s">
        <v>162</v>
      </c>
      <c r="K2" s="98" t="s">
        <v>4</v>
      </c>
      <c r="L2" s="99" t="s">
        <v>5</v>
      </c>
      <c r="M2" s="99" t="s">
        <v>6</v>
      </c>
      <c r="N2" s="100" t="s">
        <v>7</v>
      </c>
      <c r="O2" s="101" t="s">
        <v>162</v>
      </c>
      <c r="P2" s="98" t="s">
        <v>4</v>
      </c>
      <c r="Q2" s="99" t="s">
        <v>5</v>
      </c>
      <c r="R2" s="99" t="s">
        <v>6</v>
      </c>
      <c r="S2" s="100" t="s">
        <v>7</v>
      </c>
      <c r="T2" s="102" t="s">
        <v>162</v>
      </c>
      <c r="U2" s="563"/>
      <c r="V2" s="667" t="s">
        <v>186</v>
      </c>
      <c r="W2" s="668"/>
      <c r="X2" s="669"/>
      <c r="Y2" s="103"/>
      <c r="Z2" s="565" t="s">
        <v>163</v>
      </c>
      <c r="AA2" s="604"/>
      <c r="AB2" s="587" t="s">
        <v>164</v>
      </c>
      <c r="AC2" s="104" t="s">
        <v>172</v>
      </c>
      <c r="AD2" s="104" t="s">
        <v>165</v>
      </c>
      <c r="AE2" s="105" t="s">
        <v>171</v>
      </c>
      <c r="AF2" s="585" t="s">
        <v>10</v>
      </c>
      <c r="AG2" s="587" t="s">
        <v>0</v>
      </c>
      <c r="AH2" s="104" t="s">
        <v>166</v>
      </c>
      <c r="AI2" s="104" t="s">
        <v>167</v>
      </c>
      <c r="AJ2" s="105" t="s">
        <v>171</v>
      </c>
      <c r="AK2" s="585" t="s">
        <v>10</v>
      </c>
      <c r="AL2" s="587" t="s">
        <v>168</v>
      </c>
      <c r="AM2" s="104" t="s">
        <v>1</v>
      </c>
      <c r="AN2" s="104" t="s">
        <v>2</v>
      </c>
      <c r="AO2" s="105" t="s">
        <v>171</v>
      </c>
      <c r="AP2" s="585" t="s">
        <v>10</v>
      </c>
      <c r="AQ2" s="587" t="s">
        <v>169</v>
      </c>
      <c r="AR2" s="104" t="s">
        <v>3</v>
      </c>
      <c r="AS2" s="104" t="s">
        <v>170</v>
      </c>
      <c r="AT2" s="105" t="s">
        <v>171</v>
      </c>
      <c r="AU2" s="585" t="s">
        <v>10</v>
      </c>
      <c r="AV2" s="604"/>
      <c r="AW2" s="587" t="s">
        <v>164</v>
      </c>
      <c r="AX2" s="104" t="s">
        <v>172</v>
      </c>
      <c r="AY2" s="104" t="s">
        <v>165</v>
      </c>
      <c r="AZ2" s="105" t="s">
        <v>171</v>
      </c>
      <c r="BA2" s="585" t="s">
        <v>10</v>
      </c>
      <c r="BB2" s="587" t="s">
        <v>0</v>
      </c>
      <c r="BC2" s="104" t="s">
        <v>166</v>
      </c>
      <c r="BD2" s="104" t="s">
        <v>167</v>
      </c>
      <c r="BE2" s="105" t="s">
        <v>171</v>
      </c>
      <c r="BF2" s="585" t="s">
        <v>10</v>
      </c>
      <c r="BG2" s="587" t="s">
        <v>168</v>
      </c>
      <c r="BH2" s="104" t="s">
        <v>1</v>
      </c>
      <c r="BI2" s="104" t="s">
        <v>2</v>
      </c>
      <c r="BJ2" s="105" t="s">
        <v>171</v>
      </c>
      <c r="BK2" s="585" t="s">
        <v>10</v>
      </c>
      <c r="BL2" s="587" t="s">
        <v>169</v>
      </c>
      <c r="BM2" s="104" t="s">
        <v>3</v>
      </c>
      <c r="BN2" s="104" t="s">
        <v>170</v>
      </c>
      <c r="BO2" s="105" t="s">
        <v>171</v>
      </c>
      <c r="BP2" s="585" t="s">
        <v>10</v>
      </c>
      <c r="BQ2" s="103"/>
      <c r="BR2" s="587" t="s">
        <v>164</v>
      </c>
      <c r="BS2" s="104" t="s">
        <v>172</v>
      </c>
      <c r="BT2" s="104" t="s">
        <v>165</v>
      </c>
      <c r="BU2" s="105" t="s">
        <v>171</v>
      </c>
      <c r="BV2" s="585" t="s">
        <v>10</v>
      </c>
      <c r="BW2" s="587" t="s">
        <v>0</v>
      </c>
      <c r="BX2" s="104" t="s">
        <v>166</v>
      </c>
      <c r="BY2" s="104" t="s">
        <v>167</v>
      </c>
      <c r="BZ2" s="105" t="s">
        <v>171</v>
      </c>
      <c r="CA2" s="585" t="s">
        <v>10</v>
      </c>
      <c r="CB2" s="587" t="s">
        <v>168</v>
      </c>
      <c r="CC2" s="104" t="s">
        <v>1</v>
      </c>
      <c r="CD2" s="104" t="s">
        <v>2</v>
      </c>
      <c r="CE2" s="105" t="s">
        <v>171</v>
      </c>
      <c r="CF2" s="585" t="s">
        <v>10</v>
      </c>
      <c r="CG2" s="587" t="s">
        <v>169</v>
      </c>
      <c r="CH2" s="104" t="s">
        <v>3</v>
      </c>
      <c r="CI2" s="104" t="s">
        <v>170</v>
      </c>
      <c r="CJ2" s="105" t="s">
        <v>171</v>
      </c>
      <c r="CK2" s="585" t="s">
        <v>10</v>
      </c>
    </row>
    <row r="3" spans="1:179" s="116" customFormat="1" ht="10.5" customHeight="1" x14ac:dyDescent="0.15">
      <c r="A3" s="467" t="s">
        <v>212</v>
      </c>
      <c r="B3" s="106"/>
      <c r="C3" s="107"/>
      <c r="D3" s="106"/>
      <c r="E3" s="108"/>
      <c r="F3" s="478"/>
      <c r="G3" s="479"/>
      <c r="H3" s="479"/>
      <c r="I3" s="479"/>
      <c r="J3" s="109"/>
      <c r="K3" s="479"/>
      <c r="L3" s="479"/>
      <c r="M3" s="479"/>
      <c r="N3" s="479"/>
      <c r="O3" s="110"/>
      <c r="P3" s="479"/>
      <c r="Q3" s="479"/>
      <c r="R3" s="479"/>
      <c r="S3" s="479"/>
      <c r="T3" s="111"/>
      <c r="U3" s="114"/>
      <c r="V3" s="112"/>
      <c r="W3" s="109"/>
      <c r="X3" s="113"/>
      <c r="Y3" s="114"/>
      <c r="Z3" s="567"/>
      <c r="AA3" s="605"/>
      <c r="AB3" s="478"/>
      <c r="AC3" s="479"/>
      <c r="AD3" s="479"/>
      <c r="AE3" s="479"/>
      <c r="AF3" s="115"/>
      <c r="AG3" s="478"/>
      <c r="AH3" s="479"/>
      <c r="AI3" s="479"/>
      <c r="AJ3" s="479"/>
      <c r="AK3" s="115"/>
      <c r="AL3" s="478"/>
      <c r="AM3" s="479"/>
      <c r="AN3" s="479"/>
      <c r="AO3" s="479"/>
      <c r="AP3" s="115"/>
      <c r="AQ3" s="478"/>
      <c r="AR3" s="479"/>
      <c r="AS3" s="479"/>
      <c r="AT3" s="479"/>
      <c r="AU3" s="115"/>
      <c r="AV3" s="605"/>
      <c r="AW3" s="478"/>
      <c r="AX3" s="479"/>
      <c r="AY3" s="479"/>
      <c r="AZ3" s="479"/>
      <c r="BA3" s="115"/>
      <c r="BB3" s="478"/>
      <c r="BC3" s="479"/>
      <c r="BD3" s="479"/>
      <c r="BE3" s="479"/>
      <c r="BF3" s="115"/>
      <c r="BG3" s="478"/>
      <c r="BH3" s="479"/>
      <c r="BI3" s="479"/>
      <c r="BJ3" s="479"/>
      <c r="BK3" s="115"/>
      <c r="BL3" s="478"/>
      <c r="BM3" s="479"/>
      <c r="BN3" s="479"/>
      <c r="BO3" s="479"/>
      <c r="BP3" s="115"/>
      <c r="BQ3" s="114"/>
      <c r="BR3" s="478"/>
      <c r="BS3" s="479"/>
      <c r="BT3" s="479"/>
      <c r="BU3" s="479"/>
      <c r="BV3" s="115"/>
      <c r="BW3" s="478"/>
      <c r="BX3" s="479"/>
      <c r="BY3" s="479"/>
      <c r="BZ3" s="479"/>
      <c r="CA3" s="115"/>
      <c r="CB3" s="478"/>
      <c r="CC3" s="479"/>
      <c r="CD3" s="479"/>
      <c r="CE3" s="479"/>
      <c r="CF3" s="115"/>
      <c r="CG3" s="478"/>
      <c r="CH3" s="479"/>
      <c r="CI3" s="479"/>
      <c r="CJ3" s="479"/>
      <c r="CK3" s="115"/>
    </row>
    <row r="4" spans="1:179" s="57" customFormat="1" ht="9.75" customHeight="1" x14ac:dyDescent="0.15">
      <c r="A4" s="468" t="s">
        <v>130</v>
      </c>
      <c r="B4" s="117">
        <f>B45</f>
        <v>0.3</v>
      </c>
      <c r="C4" s="118">
        <v>3</v>
      </c>
      <c r="D4" s="670" t="s">
        <v>160</v>
      </c>
      <c r="E4" s="671"/>
      <c r="F4" s="480">
        <f>SUM(1000/G44)</f>
        <v>200</v>
      </c>
      <c r="G4" s="481">
        <f>SUM((F45+F46)/G44)</f>
        <v>200</v>
      </c>
      <c r="H4" s="481">
        <f>SUM((G45+G46)/H44)</f>
        <v>3888.8888888888887</v>
      </c>
      <c r="I4" s="481">
        <f>SUM((H45+H46)/I44)</f>
        <v>3389.8305084745762</v>
      </c>
      <c r="J4" s="119">
        <f>SUM(F4+G4+H4+I4)*3</f>
        <v>23036.158192090395</v>
      </c>
      <c r="K4" s="482">
        <f>SUM((I45+I46)/K44)</f>
        <v>2919.3303121226627</v>
      </c>
      <c r="L4" s="482">
        <f>SUM((K45+K46)/L44)</f>
        <v>5171.5533618733871</v>
      </c>
      <c r="M4" s="482">
        <f>SUM((L45+L46)/M44)</f>
        <v>7219.9132802031345</v>
      </c>
      <c r="N4" s="482">
        <f>SUM((M45+M46)/N44)</f>
        <v>15046.586456498117</v>
      </c>
      <c r="O4" s="119">
        <f>SUM(K4+L4+M4+N4)*3</f>
        <v>91072.150232091895</v>
      </c>
      <c r="P4" s="482">
        <f>SUM((N45+N46)/P44)</f>
        <v>27931.02258873047</v>
      </c>
      <c r="Q4" s="482">
        <f>SUM((P45+P46)/Q44)</f>
        <v>51334.057923444932</v>
      </c>
      <c r="R4" s="482">
        <f>SUM((Q45+Q46)/R44)</f>
        <v>95737.360180748394</v>
      </c>
      <c r="S4" s="482">
        <f>SUM((R45+R46)/S44)</f>
        <v>181639.77264146638</v>
      </c>
      <c r="T4" s="120">
        <f>SUM(P4+Q4+R4+S4)*3</f>
        <v>1069926.6400031706</v>
      </c>
      <c r="U4" s="123"/>
      <c r="V4" s="121">
        <f>SUM(V45/V44)</f>
        <v>2067963.2417157579</v>
      </c>
      <c r="W4" s="119">
        <f>SUM(W45/W44)</f>
        <v>4081632.6530612214</v>
      </c>
      <c r="X4" s="122">
        <f>SUM(X45/X44)</f>
        <v>4166666.6666666628</v>
      </c>
      <c r="Y4" s="123"/>
      <c r="Z4" s="568">
        <v>0</v>
      </c>
      <c r="AA4" s="606"/>
      <c r="AB4" s="480">
        <f t="shared" ref="AB4:AB15" si="0">F4</f>
        <v>200</v>
      </c>
      <c r="AC4" s="482">
        <f t="shared" ref="AC4:AC15" si="1">F4</f>
        <v>200</v>
      </c>
      <c r="AD4" s="482">
        <f t="shared" ref="AD4:AD15" si="2">F4</f>
        <v>200</v>
      </c>
      <c r="AE4" s="482">
        <f>SUM(AB4:AD4)</f>
        <v>600</v>
      </c>
      <c r="AF4" s="124"/>
      <c r="AG4" s="480">
        <f t="shared" ref="AG4:AG15" si="3">G4</f>
        <v>200</v>
      </c>
      <c r="AH4" s="482">
        <f t="shared" ref="AH4:AH15" si="4">G4</f>
        <v>200</v>
      </c>
      <c r="AI4" s="482">
        <f t="shared" ref="AI4:AI15" si="5">G4</f>
        <v>200</v>
      </c>
      <c r="AJ4" s="482">
        <f>SUM(AG4:AI4)</f>
        <v>600</v>
      </c>
      <c r="AK4" s="124"/>
      <c r="AL4" s="480">
        <f t="shared" ref="AL4:AL15" si="6">H4</f>
        <v>3888.8888888888887</v>
      </c>
      <c r="AM4" s="482">
        <f t="shared" ref="AM4:AM15" si="7">H4</f>
        <v>3888.8888888888887</v>
      </c>
      <c r="AN4" s="482">
        <f t="shared" ref="AN4:AN15" si="8">H4</f>
        <v>3888.8888888888887</v>
      </c>
      <c r="AO4" s="482">
        <f>SUM(AL4:AN4)</f>
        <v>11666.666666666666</v>
      </c>
      <c r="AP4" s="124"/>
      <c r="AQ4" s="480">
        <f t="shared" ref="AQ4:AQ15" si="9">I4</f>
        <v>3389.8305084745762</v>
      </c>
      <c r="AR4" s="482">
        <f t="shared" ref="AR4:AR15" si="10">I4</f>
        <v>3389.8305084745762</v>
      </c>
      <c r="AS4" s="482">
        <f t="shared" ref="AS4:AS15" si="11">I4</f>
        <v>3389.8305084745762</v>
      </c>
      <c r="AT4" s="482">
        <f>SUM(AQ4:AS4)</f>
        <v>10169.491525423728</v>
      </c>
      <c r="AU4" s="124"/>
      <c r="AV4" s="606"/>
      <c r="AW4" s="480">
        <f t="shared" ref="AW4:AW15" si="12">K4</f>
        <v>2919.3303121226627</v>
      </c>
      <c r="AX4" s="482">
        <f t="shared" ref="AX4:AX15" si="13">K4</f>
        <v>2919.3303121226627</v>
      </c>
      <c r="AY4" s="482">
        <f t="shared" ref="AY4:AY15" si="14">K4</f>
        <v>2919.3303121226627</v>
      </c>
      <c r="AZ4" s="482">
        <f>SUM(AW4:AY4)</f>
        <v>8757.9909363679872</v>
      </c>
      <c r="BA4" s="124"/>
      <c r="BB4" s="480">
        <f t="shared" ref="BB4:BB15" si="15">L4</f>
        <v>5171.5533618733871</v>
      </c>
      <c r="BC4" s="482">
        <f t="shared" ref="BC4:BC15" si="16">L4</f>
        <v>5171.5533618733871</v>
      </c>
      <c r="BD4" s="482">
        <f t="shared" ref="BD4:BD15" si="17">L4</f>
        <v>5171.5533618733871</v>
      </c>
      <c r="BE4" s="482">
        <f>SUM(BB4:BD4)</f>
        <v>15514.660085620162</v>
      </c>
      <c r="BF4" s="124"/>
      <c r="BG4" s="480">
        <f t="shared" ref="BG4:BG15" si="18">M4</f>
        <v>7219.9132802031345</v>
      </c>
      <c r="BH4" s="482">
        <f t="shared" ref="BH4:BH15" si="19">M4</f>
        <v>7219.9132802031345</v>
      </c>
      <c r="BI4" s="482">
        <f t="shared" ref="BI4:BI15" si="20">M4</f>
        <v>7219.9132802031345</v>
      </c>
      <c r="BJ4" s="482">
        <f>SUM(BG4:BI4)</f>
        <v>21659.739840609403</v>
      </c>
      <c r="BK4" s="124"/>
      <c r="BL4" s="480">
        <f t="shared" ref="BL4:BL15" si="21">N4</f>
        <v>15046.586456498117</v>
      </c>
      <c r="BM4" s="482">
        <f t="shared" ref="BM4:BM15" si="22">N4</f>
        <v>15046.586456498117</v>
      </c>
      <c r="BN4" s="482">
        <f t="shared" ref="BN4:BN15" si="23">N4</f>
        <v>15046.586456498117</v>
      </c>
      <c r="BO4" s="482">
        <f>SUM(BL4:BN4)</f>
        <v>45139.75936949435</v>
      </c>
      <c r="BP4" s="124"/>
      <c r="BQ4" s="123"/>
      <c r="BR4" s="480">
        <f t="shared" ref="BR4:BR15" si="24">P4</f>
        <v>27931.02258873047</v>
      </c>
      <c r="BS4" s="482">
        <f t="shared" ref="BS4:BS15" si="25">P4</f>
        <v>27931.02258873047</v>
      </c>
      <c r="BT4" s="482">
        <f t="shared" ref="BT4:BT15" si="26">P4</f>
        <v>27931.02258873047</v>
      </c>
      <c r="BU4" s="482">
        <f>SUM(BR4:BT4)</f>
        <v>83793.067766191409</v>
      </c>
      <c r="BV4" s="124"/>
      <c r="BW4" s="480">
        <f t="shared" ref="BW4:BW15" si="27">Q4</f>
        <v>51334.057923444932</v>
      </c>
      <c r="BX4" s="482">
        <f t="shared" ref="BX4:BX15" si="28">Q4</f>
        <v>51334.057923444932</v>
      </c>
      <c r="BY4" s="482">
        <f t="shared" ref="BY4:BY15" si="29">Q4</f>
        <v>51334.057923444932</v>
      </c>
      <c r="BZ4" s="482">
        <f>SUM(BW4:BY4)</f>
        <v>154002.1737703348</v>
      </c>
      <c r="CA4" s="124"/>
      <c r="CB4" s="480">
        <f t="shared" ref="CB4:CB15" si="30">R4</f>
        <v>95737.360180748394</v>
      </c>
      <c r="CC4" s="482">
        <f t="shared" ref="CC4:CC15" si="31">R4</f>
        <v>95737.360180748394</v>
      </c>
      <c r="CD4" s="482">
        <f t="shared" ref="CD4:CD15" si="32">R4</f>
        <v>95737.360180748394</v>
      </c>
      <c r="CE4" s="482">
        <f>SUM(CB4:CD4)</f>
        <v>287212.08054224518</v>
      </c>
      <c r="CF4" s="124"/>
      <c r="CG4" s="480">
        <f t="shared" ref="CG4:CG15" si="33">S4</f>
        <v>181639.77264146638</v>
      </c>
      <c r="CH4" s="482">
        <f t="shared" ref="CH4:CH15" si="34">S4</f>
        <v>181639.77264146638</v>
      </c>
      <c r="CI4" s="482">
        <f t="shared" ref="CI4:CI15" si="35">S4</f>
        <v>181639.77264146638</v>
      </c>
      <c r="CJ4" s="482">
        <f>SUM(CG4:CI4)</f>
        <v>544919.31792439916</v>
      </c>
      <c r="CK4" s="124"/>
    </row>
    <row r="5" spans="1:179" s="57" customFormat="1" ht="9.75" customHeight="1" x14ac:dyDescent="0.15">
      <c r="A5" s="468" t="s">
        <v>131</v>
      </c>
      <c r="B5" s="125">
        <v>500</v>
      </c>
      <c r="C5" s="126">
        <v>0.08</v>
      </c>
      <c r="D5" s="693"/>
      <c r="E5" s="694"/>
      <c r="F5" s="127">
        <v>1500</v>
      </c>
      <c r="G5" s="128">
        <v>2000</v>
      </c>
      <c r="H5" s="482">
        <f>SUM((IF(ISBLANK(D5),B5,D5))+(G5)*(IF(ISBLANK(E5),(1+C5),(1+E5))))</f>
        <v>2660</v>
      </c>
      <c r="I5" s="482">
        <f>SUM((IF(ISBLANK(D5),B5,D5))+(H5)*(IF(ISBLANK(E5),(1+C5),(1+E5))))</f>
        <v>3372.8</v>
      </c>
      <c r="J5" s="119">
        <f>SUM(F5+G5+H5+I5)*3</f>
        <v>28598.399999999998</v>
      </c>
      <c r="K5" s="482">
        <f>SUM((IF(ISBLANK(D5),B5,D5))+(I5)*(IF(ISBLANK(E5),(1+C5),(1+E5))))</f>
        <v>4142.6239999999998</v>
      </c>
      <c r="L5" s="482">
        <f>SUM((IF(ISBLANK(D5),B5,D5))+(K5)*(IF(ISBLANK(E5),(1+C5),(1+E5))))</f>
        <v>4974.0339199999999</v>
      </c>
      <c r="M5" s="482">
        <f>SUM((IF(ISBLANK(D5),B5,D5))+(L5)*(IF(ISBLANK(E5),(1+C5),(1+E5))))</f>
        <v>5871.9566335999998</v>
      </c>
      <c r="N5" s="482">
        <f>SUM((IF(ISBLANK(D5),B5,D5))+(M5)*(IF(ISBLANK(E5),(1+C5),(1+E5))))</f>
        <v>6841.7131642880004</v>
      </c>
      <c r="O5" s="119">
        <f>SUM(K5+L5+M5+N5)*3</f>
        <v>65490.983153664005</v>
      </c>
      <c r="P5" s="482">
        <f>SUM((IF(ISBLANK(D5),B5,D5))+(N5)*(IF(ISBLANK(E5),(1+C5),(1+E5))))</f>
        <v>7889.0502174310404</v>
      </c>
      <c r="Q5" s="482">
        <f>SUM((IF(ISBLANK(D5),B5,D5))+(P5)*(IF(ISBLANK(E5),(1+C5),(1+E5))))</f>
        <v>9020.1742348255248</v>
      </c>
      <c r="R5" s="482">
        <f>SUM((IF(ISBLANK(D5),B5,D5))+(Q5)*(IF(ISBLANK(E5),(1+C5),(1+E5))))</f>
        <v>10241.788173611567</v>
      </c>
      <c r="S5" s="482">
        <f>SUM((IF(ISBLANK(D5),B5,D5))+(R5)*(IF(ISBLANK(E5),(1+C5),(1+E5))))</f>
        <v>11561.131227500493</v>
      </c>
      <c r="T5" s="120">
        <f>SUM(P5+Q5+R5+S5)*3</f>
        <v>116136.43156010589</v>
      </c>
      <c r="U5" s="123"/>
      <c r="V5" s="121">
        <f>SUM((IF(ISBLANK(D5),B5,D5))+(S5)*(IF(ISBLANK(E5),(1+C5),(1+E5))))*12</f>
        <v>155832.26070840639</v>
      </c>
      <c r="W5" s="119">
        <f>SUM((IF(ISBLANK(D5),B5,D5))+(V5)*(IF(ISBLANK(E5),(1+C5),(1+E5))))</f>
        <v>168798.84156507891</v>
      </c>
      <c r="X5" s="122">
        <f>SUM((IF(ISBLANK(D5),B5,D5))+(W5)*(IF(ISBLANK(E5),(1+C5),(1+E5))))</f>
        <v>182802.74889028523</v>
      </c>
      <c r="Y5" s="123"/>
      <c r="Z5" s="568">
        <v>2300</v>
      </c>
      <c r="AA5" s="606"/>
      <c r="AB5" s="480">
        <f t="shared" si="0"/>
        <v>1500</v>
      </c>
      <c r="AC5" s="482">
        <f t="shared" si="1"/>
        <v>1500</v>
      </c>
      <c r="AD5" s="482">
        <f t="shared" si="2"/>
        <v>1500</v>
      </c>
      <c r="AE5" s="482">
        <f>SUM(AB5:AD5)</f>
        <v>4500</v>
      </c>
      <c r="AF5" s="124"/>
      <c r="AG5" s="480">
        <f t="shared" si="3"/>
        <v>2000</v>
      </c>
      <c r="AH5" s="482">
        <f t="shared" si="4"/>
        <v>2000</v>
      </c>
      <c r="AI5" s="482">
        <f t="shared" si="5"/>
        <v>2000</v>
      </c>
      <c r="AJ5" s="482">
        <f>SUM(AG5:AI5)</f>
        <v>6000</v>
      </c>
      <c r="AK5" s="124"/>
      <c r="AL5" s="480">
        <f t="shared" si="6"/>
        <v>2660</v>
      </c>
      <c r="AM5" s="482">
        <f t="shared" si="7"/>
        <v>2660</v>
      </c>
      <c r="AN5" s="482">
        <f t="shared" si="8"/>
        <v>2660</v>
      </c>
      <c r="AO5" s="482">
        <f>SUM(AL5:AN5)</f>
        <v>7980</v>
      </c>
      <c r="AP5" s="124"/>
      <c r="AQ5" s="480">
        <f t="shared" si="9"/>
        <v>3372.8</v>
      </c>
      <c r="AR5" s="482">
        <f t="shared" si="10"/>
        <v>3372.8</v>
      </c>
      <c r="AS5" s="482">
        <f t="shared" si="11"/>
        <v>3372.8</v>
      </c>
      <c r="AT5" s="482">
        <f>SUM(AQ5:AS5)</f>
        <v>10118.400000000001</v>
      </c>
      <c r="AU5" s="124"/>
      <c r="AV5" s="606"/>
      <c r="AW5" s="480">
        <f t="shared" si="12"/>
        <v>4142.6239999999998</v>
      </c>
      <c r="AX5" s="482">
        <f t="shared" si="13"/>
        <v>4142.6239999999998</v>
      </c>
      <c r="AY5" s="482">
        <f t="shared" si="14"/>
        <v>4142.6239999999998</v>
      </c>
      <c r="AZ5" s="482">
        <f>SUM(AW5:AY5)</f>
        <v>12427.871999999999</v>
      </c>
      <c r="BA5" s="124"/>
      <c r="BB5" s="480">
        <f t="shared" si="15"/>
        <v>4974.0339199999999</v>
      </c>
      <c r="BC5" s="482">
        <f t="shared" si="16"/>
        <v>4974.0339199999999</v>
      </c>
      <c r="BD5" s="482">
        <f t="shared" si="17"/>
        <v>4974.0339199999999</v>
      </c>
      <c r="BE5" s="482">
        <f>SUM(BB5:BD5)</f>
        <v>14922.10176</v>
      </c>
      <c r="BF5" s="124"/>
      <c r="BG5" s="480">
        <f t="shared" si="18"/>
        <v>5871.9566335999998</v>
      </c>
      <c r="BH5" s="482">
        <f t="shared" si="19"/>
        <v>5871.9566335999998</v>
      </c>
      <c r="BI5" s="482">
        <f t="shared" si="20"/>
        <v>5871.9566335999998</v>
      </c>
      <c r="BJ5" s="482">
        <f>SUM(BG5:BI5)</f>
        <v>17615.8699008</v>
      </c>
      <c r="BK5" s="124"/>
      <c r="BL5" s="480">
        <f t="shared" si="21"/>
        <v>6841.7131642880004</v>
      </c>
      <c r="BM5" s="482">
        <f t="shared" si="22"/>
        <v>6841.7131642880004</v>
      </c>
      <c r="BN5" s="482">
        <f t="shared" si="23"/>
        <v>6841.7131642880004</v>
      </c>
      <c r="BO5" s="482">
        <f>SUM(BL5:BN5)</f>
        <v>20525.139492864</v>
      </c>
      <c r="BP5" s="124"/>
      <c r="BQ5" s="123"/>
      <c r="BR5" s="480">
        <f t="shared" si="24"/>
        <v>7889.0502174310404</v>
      </c>
      <c r="BS5" s="482">
        <f t="shared" si="25"/>
        <v>7889.0502174310404</v>
      </c>
      <c r="BT5" s="482">
        <f t="shared" si="26"/>
        <v>7889.0502174310404</v>
      </c>
      <c r="BU5" s="482">
        <f>SUM(BR5:BT5)</f>
        <v>23667.150652293123</v>
      </c>
      <c r="BV5" s="124"/>
      <c r="BW5" s="480">
        <f t="shared" si="27"/>
        <v>9020.1742348255248</v>
      </c>
      <c r="BX5" s="482">
        <f t="shared" si="28"/>
        <v>9020.1742348255248</v>
      </c>
      <c r="BY5" s="482">
        <f t="shared" si="29"/>
        <v>9020.1742348255248</v>
      </c>
      <c r="BZ5" s="482">
        <f>SUM(BW5:BY5)</f>
        <v>27060.522704476574</v>
      </c>
      <c r="CA5" s="124"/>
      <c r="CB5" s="480">
        <f t="shared" si="30"/>
        <v>10241.788173611567</v>
      </c>
      <c r="CC5" s="482">
        <f t="shared" si="31"/>
        <v>10241.788173611567</v>
      </c>
      <c r="CD5" s="482">
        <f t="shared" si="32"/>
        <v>10241.788173611567</v>
      </c>
      <c r="CE5" s="482">
        <f>SUM(CB5:CD5)</f>
        <v>30725.364520834701</v>
      </c>
      <c r="CF5" s="124"/>
      <c r="CG5" s="480">
        <f t="shared" si="33"/>
        <v>11561.131227500493</v>
      </c>
      <c r="CH5" s="482">
        <f t="shared" si="34"/>
        <v>11561.131227500493</v>
      </c>
      <c r="CI5" s="482">
        <f t="shared" si="35"/>
        <v>11561.131227500493</v>
      </c>
      <c r="CJ5" s="482">
        <f>SUM(CG5:CI5)</f>
        <v>34683.393682501483</v>
      </c>
      <c r="CK5" s="124"/>
    </row>
    <row r="6" spans="1:179" s="57" customFormat="1" ht="9.75" customHeight="1" x14ac:dyDescent="0.15">
      <c r="A6" s="468" t="s">
        <v>132</v>
      </c>
      <c r="B6" s="121">
        <v>100</v>
      </c>
      <c r="C6" s="126">
        <v>0.02</v>
      </c>
      <c r="D6" s="129"/>
      <c r="E6" s="624"/>
      <c r="F6" s="127">
        <v>0</v>
      </c>
      <c r="G6" s="128">
        <v>100</v>
      </c>
      <c r="H6" s="482">
        <f>SUM(IF(ISBLANK(D6),B6,D6)+(G18*(IF(ISBLANK(E6),C6,E6))))</f>
        <v>202.38028305815033</v>
      </c>
      <c r="I6" s="482">
        <f>SUM(IF(ISBLANK(D6),B6,D6)+(H18*(IF(ISBLANK(E6),C6,E6))))</f>
        <v>658.85468039071577</v>
      </c>
      <c r="J6" s="119">
        <f>SUM(F6+G6+H6+I6)*3</f>
        <v>2883.7048903465984</v>
      </c>
      <c r="K6" s="482">
        <f>SUM(IF(ISBLANK(D6),B6,D6)+(I18*(IF(ISBLANK(E6),C6,E6))))</f>
        <v>1200.1446306844073</v>
      </c>
      <c r="L6" s="482">
        <f>SUM(IF(ISBLANK(D6),B6,D6)+(K18*(IF(ISBLANK(E6),C6,E6))))</f>
        <v>1800.4705701624052</v>
      </c>
      <c r="M6" s="482">
        <f>SUM(IF(ISBLANK(D6),B6,D6)+(L18*(IF(ISBLANK(E6),C6,E6))))</f>
        <v>2560.7622175766173</v>
      </c>
      <c r="N6" s="482">
        <f>SUM(IF(ISBLANK(D6),B6,D6)+(M18*(IF(ISBLANK(E6),C6,E6))))</f>
        <v>3585.0026494317262</v>
      </c>
      <c r="O6" s="119">
        <f>SUM(K6+L6+M6+N6)*3</f>
        <v>27439.140203565468</v>
      </c>
      <c r="P6" s="482">
        <f>SUM(IF(ISBLANK(D6),B6,D6)+(N18*(IF(ISBLANK(E6),C6,E6))))</f>
        <v>5342.3447624993469</v>
      </c>
      <c r="Q6" s="482">
        <f>SUM(IF(ISBLANK(D6),B6,D6)+(P18*(IF(ISBLANK(E6),C6,E6))))</f>
        <v>8324.7889675063161</v>
      </c>
      <c r="R6" s="482">
        <f>SUM(IF(ISBLANK(D6),B6,D6)+(Q18*(IF(ISBLANK(E6),C6,E6))))</f>
        <v>13522.141731150101</v>
      </c>
      <c r="S6" s="482">
        <f>SUM(IF(ISBLANK(D6),B6,D6)+(R18*(IF(ISBLANK(E6),C6,E6))))</f>
        <v>22906.628623901484</v>
      </c>
      <c r="T6" s="120">
        <f>SUM(P6+Q6+R6+S6)*3</f>
        <v>150287.71225517173</v>
      </c>
      <c r="U6" s="123"/>
      <c r="V6" s="121">
        <f>SUM(IF(ISBLANK(D6),B6,D6)+(S18*(IF(ISBLANK(E6),C6,E6))))*12</f>
        <v>485124.72947467037</v>
      </c>
      <c r="W6" s="119">
        <f>SUM(IF(ISBLANK(D6),B6,D6)+(V18*(IF(ISBLANK(E6),C6,E6))))*12</f>
        <v>1415089.3630640754</v>
      </c>
      <c r="X6" s="122">
        <f>SUM(IF(ISBLANK(D6),B6,D6)+(W18*(IF(ISBLANK(E6),C6,E6))))*12</f>
        <v>3363826.0009031282</v>
      </c>
      <c r="Y6" s="123"/>
      <c r="Z6" s="568">
        <v>0</v>
      </c>
      <c r="AA6" s="606"/>
      <c r="AB6" s="480">
        <f t="shared" si="0"/>
        <v>0</v>
      </c>
      <c r="AC6" s="482">
        <f t="shared" si="1"/>
        <v>0</v>
      </c>
      <c r="AD6" s="482">
        <f t="shared" si="2"/>
        <v>0</v>
      </c>
      <c r="AE6" s="482">
        <f t="shared" ref="AE6:AE17" si="36">SUM(AB6:AD6)</f>
        <v>0</v>
      </c>
      <c r="AF6" s="124"/>
      <c r="AG6" s="480">
        <f t="shared" si="3"/>
        <v>100</v>
      </c>
      <c r="AH6" s="482">
        <f t="shared" si="4"/>
        <v>100</v>
      </c>
      <c r="AI6" s="482">
        <f t="shared" si="5"/>
        <v>100</v>
      </c>
      <c r="AJ6" s="482">
        <f t="shared" ref="AJ6:AJ17" si="37">SUM(AG6:AI6)</f>
        <v>300</v>
      </c>
      <c r="AK6" s="124"/>
      <c r="AL6" s="480">
        <f t="shared" si="6"/>
        <v>202.38028305815033</v>
      </c>
      <c r="AM6" s="482">
        <f t="shared" si="7"/>
        <v>202.38028305815033</v>
      </c>
      <c r="AN6" s="482">
        <f t="shared" si="8"/>
        <v>202.38028305815033</v>
      </c>
      <c r="AO6" s="482">
        <f t="shared" ref="AO6:AO17" si="38">SUM(AL6:AN6)</f>
        <v>607.14084917445098</v>
      </c>
      <c r="AP6" s="124"/>
      <c r="AQ6" s="480">
        <f t="shared" si="9"/>
        <v>658.85468039071577</v>
      </c>
      <c r="AR6" s="482">
        <f t="shared" si="10"/>
        <v>658.85468039071577</v>
      </c>
      <c r="AS6" s="482">
        <f t="shared" si="11"/>
        <v>658.85468039071577</v>
      </c>
      <c r="AT6" s="482">
        <f t="shared" ref="AT6:AT17" si="39">SUM(AQ6:AS6)</f>
        <v>1976.5640411721474</v>
      </c>
      <c r="AU6" s="124"/>
      <c r="AV6" s="606"/>
      <c r="AW6" s="480">
        <f t="shared" si="12"/>
        <v>1200.1446306844073</v>
      </c>
      <c r="AX6" s="482">
        <f t="shared" si="13"/>
        <v>1200.1446306844073</v>
      </c>
      <c r="AY6" s="482">
        <f t="shared" si="14"/>
        <v>1200.1446306844073</v>
      </c>
      <c r="AZ6" s="482">
        <f t="shared" ref="AZ6:AZ17" si="40">SUM(AW6:AY6)</f>
        <v>3600.4338920532218</v>
      </c>
      <c r="BA6" s="124"/>
      <c r="BB6" s="480">
        <f t="shared" si="15"/>
        <v>1800.4705701624052</v>
      </c>
      <c r="BC6" s="482">
        <f t="shared" si="16"/>
        <v>1800.4705701624052</v>
      </c>
      <c r="BD6" s="482">
        <f t="shared" si="17"/>
        <v>1800.4705701624052</v>
      </c>
      <c r="BE6" s="482">
        <f t="shared" ref="BE6:BE17" si="41">SUM(BB6:BD6)</f>
        <v>5401.4117104872157</v>
      </c>
      <c r="BF6" s="124"/>
      <c r="BG6" s="480">
        <f t="shared" si="18"/>
        <v>2560.7622175766173</v>
      </c>
      <c r="BH6" s="482">
        <f t="shared" si="19"/>
        <v>2560.7622175766173</v>
      </c>
      <c r="BI6" s="482">
        <f t="shared" si="20"/>
        <v>2560.7622175766173</v>
      </c>
      <c r="BJ6" s="482">
        <f t="shared" ref="BJ6:BJ17" si="42">SUM(BG6:BI6)</f>
        <v>7682.286652729852</v>
      </c>
      <c r="BK6" s="124"/>
      <c r="BL6" s="480">
        <f t="shared" si="21"/>
        <v>3585.0026494317262</v>
      </c>
      <c r="BM6" s="482">
        <f t="shared" si="22"/>
        <v>3585.0026494317262</v>
      </c>
      <c r="BN6" s="482">
        <f t="shared" si="23"/>
        <v>3585.0026494317262</v>
      </c>
      <c r="BO6" s="482">
        <f t="shared" ref="BO6:BO8" si="43">SUM(BL6:BN6)</f>
        <v>10755.007948295179</v>
      </c>
      <c r="BP6" s="124"/>
      <c r="BQ6" s="123"/>
      <c r="BR6" s="480">
        <f t="shared" si="24"/>
        <v>5342.3447624993469</v>
      </c>
      <c r="BS6" s="482">
        <f t="shared" si="25"/>
        <v>5342.3447624993469</v>
      </c>
      <c r="BT6" s="482">
        <f t="shared" si="26"/>
        <v>5342.3447624993469</v>
      </c>
      <c r="BU6" s="482">
        <f t="shared" ref="BU6:BU8" si="44">SUM(BR6:BT6)</f>
        <v>16027.034287498042</v>
      </c>
      <c r="BV6" s="124"/>
      <c r="BW6" s="480">
        <f t="shared" si="27"/>
        <v>8324.7889675063161</v>
      </c>
      <c r="BX6" s="482">
        <f t="shared" si="28"/>
        <v>8324.7889675063161</v>
      </c>
      <c r="BY6" s="482">
        <f t="shared" si="29"/>
        <v>8324.7889675063161</v>
      </c>
      <c r="BZ6" s="482">
        <f t="shared" ref="BZ6:BZ8" si="45">SUM(BW6:BY6)</f>
        <v>24974.366902518948</v>
      </c>
      <c r="CA6" s="124"/>
      <c r="CB6" s="480">
        <f t="shared" si="30"/>
        <v>13522.141731150101</v>
      </c>
      <c r="CC6" s="482">
        <f t="shared" si="31"/>
        <v>13522.141731150101</v>
      </c>
      <c r="CD6" s="482">
        <f t="shared" si="32"/>
        <v>13522.141731150101</v>
      </c>
      <c r="CE6" s="482">
        <f t="shared" ref="CE6:CE7" si="46">SUM(CB6:CD6)</f>
        <v>40566.425193450305</v>
      </c>
      <c r="CF6" s="124"/>
      <c r="CG6" s="480">
        <f t="shared" si="33"/>
        <v>22906.628623901484</v>
      </c>
      <c r="CH6" s="482">
        <f t="shared" si="34"/>
        <v>22906.628623901484</v>
      </c>
      <c r="CI6" s="482">
        <f t="shared" si="35"/>
        <v>22906.628623901484</v>
      </c>
      <c r="CJ6" s="482">
        <f t="shared" ref="CJ6:CJ8" si="47">SUM(CG6:CI6)</f>
        <v>68719.88587170445</v>
      </c>
      <c r="CK6" s="124"/>
    </row>
    <row r="7" spans="1:179" s="57" customFormat="1" ht="9.75" customHeight="1" x14ac:dyDescent="0.15">
      <c r="A7" s="468" t="s">
        <v>133</v>
      </c>
      <c r="B7" s="121">
        <v>100</v>
      </c>
      <c r="C7" s="126">
        <v>4.0000000000000001E-3</v>
      </c>
      <c r="D7" s="129"/>
      <c r="E7" s="624"/>
      <c r="F7" s="127">
        <v>0</v>
      </c>
      <c r="G7" s="128">
        <v>0</v>
      </c>
      <c r="H7" s="128">
        <v>0</v>
      </c>
      <c r="I7" s="128">
        <v>0</v>
      </c>
      <c r="J7" s="119">
        <f>SUM((F7+G7+H7+I7)*3)</f>
        <v>0</v>
      </c>
      <c r="K7" s="482">
        <f>SUM(IF(ISBLANK(D7),B7,D7)+(I18*(IF(ISBLANK(E7),C7,E7))))</f>
        <v>320.02892613688147</v>
      </c>
      <c r="L7" s="482">
        <f>SUM(IF(ISBLANK(D7),B7,D7)+(K18*(IF(ISBLANK(E7),C7,E7))))</f>
        <v>440.09411403248106</v>
      </c>
      <c r="M7" s="482">
        <f>SUM(IF(ISBLANK(D7),B7,D7)+(L18*(IF(ISBLANK(E7),C7,E7))))</f>
        <v>592.15244351532351</v>
      </c>
      <c r="N7" s="482">
        <f>SUM(IF(ISBLANK(D7),B7,D7)+(M18*(IF(ISBLANK(E7),C7,E7))))</f>
        <v>797.00052988634525</v>
      </c>
      <c r="O7" s="119">
        <f>SUM(K7+L7+M7+N7)*3</f>
        <v>6447.8280407130942</v>
      </c>
      <c r="P7" s="482">
        <f>SUM(IF(ISBLANK(D7),B7,D7)+(N18*(IF(ISBLANK(E7),C7,E7))))</f>
        <v>1148.4689524998694</v>
      </c>
      <c r="Q7" s="482">
        <f>SUM(IF(ISBLANK(D7),B7,D7)+(P18*(IF(ISBLANK(E7),C7,E7))))</f>
        <v>1744.9577935012633</v>
      </c>
      <c r="R7" s="482">
        <f>SUM(IF(ISBLANK(D7),B7,D7)+(Q18*(IF(ISBLANK(E7),C7,E7))))</f>
        <v>2784.4283462300205</v>
      </c>
      <c r="S7" s="482">
        <f>SUM(IF(ISBLANK(D7),B7,D7)+(R18*(IF(ISBLANK(E7),C7,E7))))</f>
        <v>4661.3257247802967</v>
      </c>
      <c r="T7" s="120">
        <f>SUM(P7+Q7+R7+S7)*3</f>
        <v>31017.542451034347</v>
      </c>
      <c r="U7" s="123"/>
      <c r="V7" s="121">
        <f>SUM(IF(ISBLANK(D7),B7,D7)+(S18*(IF(ISBLANK(E7),C7,E7))))*12</f>
        <v>97984.945894934062</v>
      </c>
      <c r="W7" s="119">
        <f>SUM(IF(ISBLANK(D7),B7,D7)+(V18*(IF(ISBLANK(E7),C7,E7))))*12</f>
        <v>283977.87261281512</v>
      </c>
      <c r="X7" s="122">
        <f>SUM(IF(ISBLANK(D7),B7,D7)+(W18*(IF(ISBLANK(E7),C7,E7))))*12</f>
        <v>673725.20018062554</v>
      </c>
      <c r="Y7" s="123"/>
      <c r="Z7" s="568">
        <v>0</v>
      </c>
      <c r="AA7" s="606"/>
      <c r="AB7" s="480">
        <f t="shared" si="0"/>
        <v>0</v>
      </c>
      <c r="AC7" s="482">
        <f t="shared" si="1"/>
        <v>0</v>
      </c>
      <c r="AD7" s="482">
        <f t="shared" si="2"/>
        <v>0</v>
      </c>
      <c r="AE7" s="482">
        <f t="shared" si="36"/>
        <v>0</v>
      </c>
      <c r="AF7" s="124"/>
      <c r="AG7" s="480">
        <f t="shared" si="3"/>
        <v>0</v>
      </c>
      <c r="AH7" s="482">
        <f t="shared" si="4"/>
        <v>0</v>
      </c>
      <c r="AI7" s="482">
        <f t="shared" si="5"/>
        <v>0</v>
      </c>
      <c r="AJ7" s="482">
        <f t="shared" si="37"/>
        <v>0</v>
      </c>
      <c r="AK7" s="124"/>
      <c r="AL7" s="480">
        <f t="shared" si="6"/>
        <v>0</v>
      </c>
      <c r="AM7" s="482">
        <f t="shared" si="7"/>
        <v>0</v>
      </c>
      <c r="AN7" s="482">
        <f t="shared" si="8"/>
        <v>0</v>
      </c>
      <c r="AO7" s="482">
        <f t="shared" si="38"/>
        <v>0</v>
      </c>
      <c r="AP7" s="124"/>
      <c r="AQ7" s="480">
        <f t="shared" si="9"/>
        <v>0</v>
      </c>
      <c r="AR7" s="482">
        <f t="shared" si="10"/>
        <v>0</v>
      </c>
      <c r="AS7" s="482">
        <f t="shared" si="11"/>
        <v>0</v>
      </c>
      <c r="AT7" s="482">
        <f t="shared" si="39"/>
        <v>0</v>
      </c>
      <c r="AU7" s="124"/>
      <c r="AV7" s="606"/>
      <c r="AW7" s="480">
        <f t="shared" si="12"/>
        <v>320.02892613688147</v>
      </c>
      <c r="AX7" s="482">
        <f t="shared" si="13"/>
        <v>320.02892613688147</v>
      </c>
      <c r="AY7" s="482">
        <f t="shared" si="14"/>
        <v>320.02892613688147</v>
      </c>
      <c r="AZ7" s="482">
        <f t="shared" si="40"/>
        <v>960.08677841064446</v>
      </c>
      <c r="BA7" s="124"/>
      <c r="BB7" s="480">
        <f t="shared" si="15"/>
        <v>440.09411403248106</v>
      </c>
      <c r="BC7" s="482">
        <f t="shared" si="16"/>
        <v>440.09411403248106</v>
      </c>
      <c r="BD7" s="482">
        <f t="shared" si="17"/>
        <v>440.09411403248106</v>
      </c>
      <c r="BE7" s="482">
        <f t="shared" si="41"/>
        <v>1320.2823420974432</v>
      </c>
      <c r="BF7" s="124"/>
      <c r="BG7" s="480">
        <f t="shared" si="18"/>
        <v>592.15244351532351</v>
      </c>
      <c r="BH7" s="482">
        <f t="shared" si="19"/>
        <v>592.15244351532351</v>
      </c>
      <c r="BI7" s="482">
        <f t="shared" si="20"/>
        <v>592.15244351532351</v>
      </c>
      <c r="BJ7" s="482">
        <f t="shared" si="42"/>
        <v>1776.4573305459705</v>
      </c>
      <c r="BK7" s="124"/>
      <c r="BL7" s="480">
        <f t="shared" si="21"/>
        <v>797.00052988634525</v>
      </c>
      <c r="BM7" s="482">
        <f t="shared" si="22"/>
        <v>797.00052988634525</v>
      </c>
      <c r="BN7" s="482">
        <f t="shared" si="23"/>
        <v>797.00052988634525</v>
      </c>
      <c r="BO7" s="482">
        <f t="shared" si="43"/>
        <v>2391.0015896590357</v>
      </c>
      <c r="BP7" s="124"/>
      <c r="BQ7" s="123"/>
      <c r="BR7" s="480">
        <f t="shared" si="24"/>
        <v>1148.4689524998694</v>
      </c>
      <c r="BS7" s="482">
        <f t="shared" si="25"/>
        <v>1148.4689524998694</v>
      </c>
      <c r="BT7" s="482">
        <f t="shared" si="26"/>
        <v>1148.4689524998694</v>
      </c>
      <c r="BU7" s="482">
        <f t="shared" si="44"/>
        <v>3445.4068574996081</v>
      </c>
      <c r="BV7" s="124"/>
      <c r="BW7" s="480">
        <f t="shared" si="27"/>
        <v>1744.9577935012633</v>
      </c>
      <c r="BX7" s="482">
        <f t="shared" si="28"/>
        <v>1744.9577935012633</v>
      </c>
      <c r="BY7" s="482">
        <f t="shared" si="29"/>
        <v>1744.9577935012633</v>
      </c>
      <c r="BZ7" s="482">
        <f t="shared" si="45"/>
        <v>5234.87338050379</v>
      </c>
      <c r="CA7" s="124"/>
      <c r="CB7" s="480">
        <f t="shared" si="30"/>
        <v>2784.4283462300205</v>
      </c>
      <c r="CC7" s="482">
        <f t="shared" si="31"/>
        <v>2784.4283462300205</v>
      </c>
      <c r="CD7" s="482">
        <f t="shared" si="32"/>
        <v>2784.4283462300205</v>
      </c>
      <c r="CE7" s="482">
        <f t="shared" si="46"/>
        <v>8353.2850386900609</v>
      </c>
      <c r="CF7" s="124"/>
      <c r="CG7" s="480">
        <f t="shared" si="33"/>
        <v>4661.3257247802967</v>
      </c>
      <c r="CH7" s="482">
        <f t="shared" si="34"/>
        <v>4661.3257247802967</v>
      </c>
      <c r="CI7" s="482">
        <f t="shared" si="35"/>
        <v>4661.3257247802967</v>
      </c>
      <c r="CJ7" s="482">
        <f t="shared" si="47"/>
        <v>13983.977174340889</v>
      </c>
      <c r="CK7" s="124"/>
    </row>
    <row r="8" spans="1:179" s="57" customFormat="1" ht="9.75" customHeight="1" thickBot="1" x14ac:dyDescent="0.2">
      <c r="A8" s="469" t="s">
        <v>134</v>
      </c>
      <c r="B8" s="130">
        <v>5000000</v>
      </c>
      <c r="C8" s="131">
        <v>300000000</v>
      </c>
      <c r="D8" s="132"/>
      <c r="E8" s="287"/>
      <c r="F8" s="508">
        <f>SUM(IF(((1-(Z18/(IF(ISBLANK(D8),B8,(IF(D8=0,9.99999999999999E+29,D8))))))*SUM(F4:F7))&lt;0,0,((1-(Z18/(IF(ISBLANK(D8),B8,(IF(D8=0,9.99999999999999E+29,D8))))))*SUM(F4:F7))))</f>
        <v>1699.49</v>
      </c>
      <c r="G8" s="509">
        <f>SUM(IF(((1-(F18/(IF(ISBLANK(D8),B8,(IF(D8=0,9.99999999999999E+29,D8))))))*SUM(G4:G7))&lt;0,0,((1-(F18/(IF(ISBLANK(D8),B8,(IF(D8=0,9.99999999999999E+29,D8))))))*SUM(G4:G7))))</f>
        <v>2299.0132015260306</v>
      </c>
      <c r="H8" s="509">
        <f>SUM(IF(((1-(G18/(IF(ISBLANK(D8),B8,(IF(D8=0,9.99999999999999E+29,D8))))))*SUM(H4:H7))&lt;0,0,((1-(G18/(IF(ISBLANK(D8),B8,(IF(D8=0,9.99999999999999E+29,D8))))))*SUM(H4:H7))))</f>
        <v>6744.3572034587814</v>
      </c>
      <c r="I8" s="509">
        <f>SUM(IF(((1-(H18/(IF(ISBLANK(D8),B8,(IF(D8=0,9.99999999999999E+29,D8))))))*SUM(I4:I7))&lt;0,0,((1-(H18/(IF(ISBLANK(D8),B8,(IF(D8=0,9.99999999999999E+29,D8))))))*SUM(I4:I7))))</f>
        <v>7380.009871532814</v>
      </c>
      <c r="J8" s="510">
        <f t="shared" ref="J8" si="48">SUM(F8:I8)*3</f>
        <v>54368.610829552868</v>
      </c>
      <c r="K8" s="509">
        <f>SUM(IF(((1-(I18/(IF(ISBLANK(E8),C8,(IF(E8=0,9.99999999999999E+29,E8))))))*SUM(K4:K7))&lt;0,0,((1-(I18/(IF(ISBLANK(E8),C8,(IF(E8=0,9.99999999999999E+29,E8))))))*SUM(K4:K7))))</f>
        <v>8580.5542719614732</v>
      </c>
      <c r="L8" s="509">
        <f>SUM(IF(((1-(K18/(IF(ISBLANK(E8),C8,(IF(E8=0,9.99999999999999E+29,E8))))))*SUM(L4:L7))&lt;0,0,((1-(K18/(IF(ISBLANK(E8),C8,(IF(E8=0,9.99999999999999E+29,E8))))))*SUM(L4:L7))))</f>
        <v>12382.641584918963</v>
      </c>
      <c r="M8" s="509">
        <f>SUM(IF(((1-(L18/(IF(ISBLANK(E8),C8,(IF(E8=0,9.99999999999999E+29,E8))))))*SUM(M4:M7))&lt;0,0,((1-(L18/(IF(ISBLANK(E8),C8,(IF(E8=0,9.99999999999999E+29,E8))))))*SUM(M4:M7))))</f>
        <v>16238.122149542647</v>
      </c>
      <c r="N8" s="509">
        <f>SUM(IF(((1-(M18/(IF(ISBLANK(E8),C8,(IF(E8=0,9.99999999999999E+29,E8))))))*SUM(N4:N7))&lt;0,0,((1-(M18/(IF(ISBLANK(E8),C8,(IF(E8=0,9.99999999999999E+29,E8))))))*SUM(N4:N7))))</f>
        <v>26255.044120960902</v>
      </c>
      <c r="O8" s="510">
        <f t="shared" ref="O8" si="49">SUM(K8:N8)*3</f>
        <v>190369.08638215193</v>
      </c>
      <c r="P8" s="509">
        <f>SUM(IF(((1-(N18/(IF(ISBLANK(E8),C8,(IF(E8=0,9.99999999999999E+29,E8))))))*SUM(P4:P7))&lt;0,0,((1-(N18/(IF(ISBLANK(E8),C8,(IF(E8=0,9.99999999999999E+29,E8))))))*SUM(P4:P7))))</f>
        <v>42273.918478768908</v>
      </c>
      <c r="Q8" s="509">
        <f>SUM(IF(((1-(P18/(IF(ISBLANK(E8),C8,(IF(E8=0,9.99999999999999E+29,E8))))))*SUM(Q4:Q7))&lt;0,0,((1-(P18/(IF(ISBLANK(E8),C8,(IF(E8=0,9.99999999999999E+29,E8))))))*SUM(Q4:Q7))))</f>
        <v>70327.441858467515</v>
      </c>
      <c r="R8" s="509">
        <f>SUM(IF(((1-(Q18/(IF(ISBLANK(E8),C8,(IF(E8=0,9.99999999999999E+29,E8))))))*SUM(R4:R7))&lt;0,0,((1-(Q18/(IF(ISBLANK(E8),C8,(IF(E8=0,9.99999999999999E+29,E8))))))*SUM(R4:R7))))</f>
        <v>122012.16239099235</v>
      </c>
      <c r="S8" s="509">
        <f>SUM(IF(((1-(R18/(IF(ISBLANK(E8),C8,(IF(E8=0,9.99999999999999E+29,E8))))))*SUM(S4:S7))&lt;0,0,((1-(R18/(IF(ISBLANK(E8),C8,(IF(E8=0,9.99999999999999E+29,E8))))))*SUM(S4:S7))))</f>
        <v>219929.69265746657</v>
      </c>
      <c r="T8" s="511">
        <f t="shared" ref="T8" si="50">SUM(P8:S8)*3</f>
        <v>1363629.6461570859</v>
      </c>
      <c r="U8" s="562"/>
      <c r="V8" s="638">
        <f>SUM(IF(((1-(T18/(IF(ISBLANK(E8),C8,(IF(E8=0,9.99999999999999E+29,E8))))))*SUM(V4:V7))&lt;0,0,((1-(T18/(IF(ISBLANK(E8),C8,(IF(E8=0,9.99999999999999E+29,E8))))))*SUM(V4:V7))))</f>
        <v>2788039.4718378671</v>
      </c>
      <c r="W8" s="510">
        <f>SUM(IF(((1-(V18/(IF(ISBLANK(E8),C8,(IF(E8=0,9.99999999999999E+29,E8))))))*SUM(W4:W7))&lt;0,0,((1-(V18/(IF(ISBLANK(E8),C8,(IF(E8=0,9.99999999999999E+29,E8))))))*SUM(W4:W7))))</f>
        <v>5832666.327937373</v>
      </c>
      <c r="X8" s="639">
        <f>SUM(IF(((1-(W18/(IF(ISBLANK(E8),C8,(IF(E8=0,9.99999999999999E+29,E8))))))*SUM(X4:X7))&lt;0,0,((1-(W18/(IF(ISBLANK(E8),C8,(IF(E8=0,9.99999999999999E+29,E8))))))*SUM(X4:X7))))</f>
        <v>7995320.4278125549</v>
      </c>
      <c r="Y8" s="562"/>
      <c r="Z8" s="569">
        <f>SUM(Z4:Z7)</f>
        <v>2300</v>
      </c>
      <c r="AA8" s="607"/>
      <c r="AB8" s="508">
        <f t="shared" si="0"/>
        <v>1699.49</v>
      </c>
      <c r="AC8" s="509">
        <f t="shared" si="1"/>
        <v>1699.49</v>
      </c>
      <c r="AD8" s="509">
        <f t="shared" si="2"/>
        <v>1699.49</v>
      </c>
      <c r="AE8" s="509">
        <f t="shared" si="36"/>
        <v>5098.47</v>
      </c>
      <c r="AF8" s="133"/>
      <c r="AG8" s="508">
        <f t="shared" si="3"/>
        <v>2299.0132015260306</v>
      </c>
      <c r="AH8" s="509">
        <f t="shared" si="4"/>
        <v>2299.0132015260306</v>
      </c>
      <c r="AI8" s="509">
        <f t="shared" si="5"/>
        <v>2299.0132015260306</v>
      </c>
      <c r="AJ8" s="509">
        <f t="shared" si="37"/>
        <v>6897.0396045780917</v>
      </c>
      <c r="AK8" s="133"/>
      <c r="AL8" s="508">
        <f t="shared" si="6"/>
        <v>6744.3572034587814</v>
      </c>
      <c r="AM8" s="509">
        <f t="shared" si="7"/>
        <v>6744.3572034587814</v>
      </c>
      <c r="AN8" s="509">
        <f t="shared" si="8"/>
        <v>6744.3572034587814</v>
      </c>
      <c r="AO8" s="509">
        <f t="shared" si="38"/>
        <v>20233.071610376344</v>
      </c>
      <c r="AP8" s="133"/>
      <c r="AQ8" s="508">
        <f t="shared" si="9"/>
        <v>7380.009871532814</v>
      </c>
      <c r="AR8" s="509">
        <f t="shared" si="10"/>
        <v>7380.009871532814</v>
      </c>
      <c r="AS8" s="509">
        <f t="shared" si="11"/>
        <v>7380.009871532814</v>
      </c>
      <c r="AT8" s="509">
        <f t="shared" si="39"/>
        <v>22140.029614598443</v>
      </c>
      <c r="AU8" s="133"/>
      <c r="AV8" s="607"/>
      <c r="AW8" s="508">
        <f t="shared" si="12"/>
        <v>8580.5542719614732</v>
      </c>
      <c r="AX8" s="509">
        <f t="shared" si="13"/>
        <v>8580.5542719614732</v>
      </c>
      <c r="AY8" s="509">
        <f t="shared" si="14"/>
        <v>8580.5542719614732</v>
      </c>
      <c r="AZ8" s="509">
        <f t="shared" si="40"/>
        <v>25741.662815884418</v>
      </c>
      <c r="BA8" s="133"/>
      <c r="BB8" s="508">
        <f t="shared" si="15"/>
        <v>12382.641584918963</v>
      </c>
      <c r="BC8" s="509">
        <f t="shared" si="16"/>
        <v>12382.641584918963</v>
      </c>
      <c r="BD8" s="509">
        <f t="shared" si="17"/>
        <v>12382.641584918963</v>
      </c>
      <c r="BE8" s="509">
        <f t="shared" si="41"/>
        <v>37147.924754756888</v>
      </c>
      <c r="BF8" s="133"/>
      <c r="BG8" s="508">
        <f t="shared" si="18"/>
        <v>16238.122149542647</v>
      </c>
      <c r="BH8" s="509">
        <f t="shared" si="19"/>
        <v>16238.122149542647</v>
      </c>
      <c r="BI8" s="509">
        <f t="shared" si="20"/>
        <v>16238.122149542647</v>
      </c>
      <c r="BJ8" s="509">
        <f t="shared" si="42"/>
        <v>48714.366448627945</v>
      </c>
      <c r="BK8" s="133"/>
      <c r="BL8" s="508">
        <f t="shared" si="21"/>
        <v>26255.044120960902</v>
      </c>
      <c r="BM8" s="509">
        <f t="shared" si="22"/>
        <v>26255.044120960902</v>
      </c>
      <c r="BN8" s="509">
        <f t="shared" si="23"/>
        <v>26255.044120960902</v>
      </c>
      <c r="BO8" s="509">
        <f t="shared" si="43"/>
        <v>78765.132362882709</v>
      </c>
      <c r="BP8" s="133"/>
      <c r="BQ8" s="562"/>
      <c r="BR8" s="508">
        <f t="shared" si="24"/>
        <v>42273.918478768908</v>
      </c>
      <c r="BS8" s="509">
        <f t="shared" si="25"/>
        <v>42273.918478768908</v>
      </c>
      <c r="BT8" s="509">
        <f t="shared" si="26"/>
        <v>42273.918478768908</v>
      </c>
      <c r="BU8" s="509">
        <f t="shared" si="44"/>
        <v>126821.75543630673</v>
      </c>
      <c r="BV8" s="133"/>
      <c r="BW8" s="508">
        <f t="shared" si="27"/>
        <v>70327.441858467515</v>
      </c>
      <c r="BX8" s="509">
        <f t="shared" si="28"/>
        <v>70327.441858467515</v>
      </c>
      <c r="BY8" s="509">
        <f t="shared" si="29"/>
        <v>70327.441858467515</v>
      </c>
      <c r="BZ8" s="509">
        <f t="shared" si="45"/>
        <v>210982.32557540253</v>
      </c>
      <c r="CA8" s="133"/>
      <c r="CB8" s="508">
        <f t="shared" si="30"/>
        <v>122012.16239099235</v>
      </c>
      <c r="CC8" s="509">
        <f t="shared" si="31"/>
        <v>122012.16239099235</v>
      </c>
      <c r="CD8" s="509">
        <f t="shared" si="32"/>
        <v>122012.16239099235</v>
      </c>
      <c r="CE8" s="509">
        <f>SUM(CB8:CD8)</f>
        <v>366036.48717297707</v>
      </c>
      <c r="CF8" s="133"/>
      <c r="CG8" s="508">
        <f t="shared" si="33"/>
        <v>219929.69265746657</v>
      </c>
      <c r="CH8" s="509">
        <f t="shared" si="34"/>
        <v>219929.69265746657</v>
      </c>
      <c r="CI8" s="509">
        <f t="shared" si="35"/>
        <v>219929.69265746657</v>
      </c>
      <c r="CJ8" s="509">
        <f t="shared" si="47"/>
        <v>659789.07797239977</v>
      </c>
      <c r="CK8" s="133"/>
      <c r="CL8" s="134"/>
    </row>
    <row r="9" spans="1:179" s="144" customFormat="1" ht="9.75" customHeight="1" x14ac:dyDescent="0.15">
      <c r="A9" s="470" t="s">
        <v>135</v>
      </c>
      <c r="B9" s="135">
        <v>0.05</v>
      </c>
      <c r="C9" s="136">
        <v>-2E-3</v>
      </c>
      <c r="D9" s="625"/>
      <c r="E9" s="289"/>
      <c r="F9" s="137">
        <v>0.01</v>
      </c>
      <c r="G9" s="138">
        <v>0.03</v>
      </c>
      <c r="H9" s="483">
        <f>SUM(IF((0*(IF(ISBLANK(E9),C9,E9)))+(IF(ISBLANK(D9),B9,D9)) &lt; 0, 0, (0*(IF(ISBLANK(E9),C9,E9)))+(IF(ISBLANK(D9),B9,D9))))</f>
        <v>0.05</v>
      </c>
      <c r="I9" s="483">
        <f>SUM(IF((1*(IF(ISBLANK(E9),C9,E9)))+(IF(ISBLANK(D9),B9,D9)) &lt; 0, 0, (1*(IF(ISBLANK(E9),C9,E9)))+(IF(ISBLANK(D9),B9,D9))))</f>
        <v>4.8000000000000001E-2</v>
      </c>
      <c r="J9" s="139">
        <f>SUM(((1+F9)*(1+F9)*(1+F9)*(1+G9)*(1+G9)*(1+G9)*(1+H9)*(1+H9)*(1+H9)*(1+I9)*(1+I9)*(1+I9))-1)</f>
        <v>0.50012531730574872</v>
      </c>
      <c r="K9" s="483">
        <f>SUM(IF((2*(IF(ISBLANK(E9),C9,E9)))+(IF(ISBLANK(D9),B9,D9)) &lt; 0, 0, (2*(IF(ISBLANK(E9),C9,E9)))+(IF(ISBLANK(D9),B9,D9))))</f>
        <v>4.5999999999999999E-2</v>
      </c>
      <c r="L9" s="483">
        <f>SUM(IF((3*(IF(ISBLANK(E9),C9,E9)))+(IF(ISBLANK(D9),B9,D9)) &lt; 0, 0, (3*(IF(ISBLANK(E9),C9,E9)))+(IF(ISBLANK(D9),B9,D9))))</f>
        <v>4.4000000000000004E-2</v>
      </c>
      <c r="M9" s="483">
        <f>SUM(IF((4*(IF(ISBLANK(E9),C9,E9)))+(IF(ISBLANK(D9),B9,D9)) &lt; 0, 0, (4*(IF(ISBLANK(E9),C9,E9)))+(IF(ISBLANK(D9),B9,D9))))</f>
        <v>4.2000000000000003E-2</v>
      </c>
      <c r="N9" s="483">
        <f>SUM(IF((5*(IF(ISBLANK(E9),C9,E9)))+(IF(ISBLANK(D9),B9,D9)) &lt; 0, 0, (5*(IF(ISBLANK(E9),C9,E9)))+(IF(ISBLANK(D9),B9,D9))))</f>
        <v>0.04</v>
      </c>
      <c r="O9" s="139">
        <f>SUM(((1+K9)*(1+K9)*(1+K9)*(1+L9)*(1+L9)*(1+L9)*(1+M9)*(1+M9)*(1+M9)*(1+N9)*(1+N9)*(1+N9))-1)</f>
        <v>0.65729463469142413</v>
      </c>
      <c r="P9" s="483">
        <f>SUM(IF((6*(IF(ISBLANK(E9),C9,E9)))+(IF(ISBLANK(D9),B9,D9)) &lt; 0, 0, (6*(IF(ISBLANK(E9),C9,E9)))+(IF(ISBLANK(D9),B9,D9))))</f>
        <v>3.8000000000000006E-2</v>
      </c>
      <c r="Q9" s="483">
        <f>SUM(IF((7*(IF(ISBLANK(E9),C9,E9)))+(IF(ISBLANK(D9),B9,D9)) &lt; 0, 0, (7*(IF(ISBLANK(E9),C9,E9)))+(IF(ISBLANK(D9),B9,D9))))</f>
        <v>3.6000000000000004E-2</v>
      </c>
      <c r="R9" s="483">
        <f>SUM(IF((8*(IF(ISBLANK(E9),C9,E9)))+(IF(ISBLANK(D9),B9,D9)) &lt; 0, 0, (8*(IF(ISBLANK(E9),C9,E9)))+(IF(ISBLANK(D9),B9,D9))))</f>
        <v>3.4000000000000002E-2</v>
      </c>
      <c r="S9" s="483">
        <f>SUM(IF((9*(IF(ISBLANK(E9),C9,E9)))+(IF(ISBLANK(D9),B9,D9)) &lt; 0, 0, (9*(IF(ISBLANK(E9),C9,E9)))+(IF(ISBLANK(D9),B9,D9))))</f>
        <v>3.2000000000000001E-2</v>
      </c>
      <c r="T9" s="136">
        <f>SUM(((1+P9)*(1+P9)*(1+P9)*(1+Q9)*(1+Q9)*(1+Q9)*(1+R9)*(1+R9)*(1+R9)*(1+S9)*(1+S9)*(1+S9))-1)</f>
        <v>0.5110263398141377</v>
      </c>
      <c r="U9" s="290"/>
      <c r="V9" s="141">
        <f>SUM(IF((12*(IF(ISBLANK(E9),C9,E9)))+(IF(ISBLANK(D9),B9,D9)) &lt; 0, 0, (12*(IF(ISBLANK(E9),C9,E9)))+(IF(ISBLANK(D9),B9,D9))))*12</f>
        <v>0.31200000000000006</v>
      </c>
      <c r="W9" s="139">
        <f>SUM(IF((15*(IF(ISBLANK(E9),C9,E9)))+(IF(ISBLANK(D9),B9,D9)) &lt; 0, 0, (15*(IF(ISBLANK(E9),C9,E9)))+(IF(ISBLANK(D9),B9,D9))))*12</f>
        <v>0.24000000000000005</v>
      </c>
      <c r="X9" s="140">
        <f>SUM(IF((18*(IF(ISBLANK(E9),C9,E9)))+(IF(ISBLANK(D9),B9,D9)) &lt; 0, 0, (18*(IF(ISBLANK(E9),C9,E9)))+(IF(ISBLANK(D9),B9,D9))))*12</f>
        <v>0.16799999999999998</v>
      </c>
      <c r="Y9" s="142"/>
      <c r="Z9" s="570">
        <v>0</v>
      </c>
      <c r="AA9" s="608"/>
      <c r="AB9" s="588">
        <f t="shared" si="0"/>
        <v>0.01</v>
      </c>
      <c r="AC9" s="483">
        <f t="shared" si="1"/>
        <v>0.01</v>
      </c>
      <c r="AD9" s="483">
        <f t="shared" si="2"/>
        <v>0.01</v>
      </c>
      <c r="AE9" s="483">
        <f t="shared" si="36"/>
        <v>0.03</v>
      </c>
      <c r="AF9" s="143"/>
      <c r="AG9" s="588">
        <f t="shared" si="3"/>
        <v>0.03</v>
      </c>
      <c r="AH9" s="483">
        <f t="shared" si="4"/>
        <v>0.03</v>
      </c>
      <c r="AI9" s="483">
        <f t="shared" si="5"/>
        <v>0.03</v>
      </c>
      <c r="AJ9" s="483">
        <f t="shared" si="37"/>
        <v>0.09</v>
      </c>
      <c r="AK9" s="143"/>
      <c r="AL9" s="588">
        <f t="shared" si="6"/>
        <v>0.05</v>
      </c>
      <c r="AM9" s="483">
        <f t="shared" si="7"/>
        <v>0.05</v>
      </c>
      <c r="AN9" s="483">
        <f t="shared" si="8"/>
        <v>0.05</v>
      </c>
      <c r="AO9" s="483">
        <f t="shared" si="38"/>
        <v>0.15000000000000002</v>
      </c>
      <c r="AP9" s="143"/>
      <c r="AQ9" s="588">
        <f t="shared" si="9"/>
        <v>4.8000000000000001E-2</v>
      </c>
      <c r="AR9" s="483">
        <f t="shared" si="10"/>
        <v>4.8000000000000001E-2</v>
      </c>
      <c r="AS9" s="483">
        <f t="shared" si="11"/>
        <v>4.8000000000000001E-2</v>
      </c>
      <c r="AT9" s="483">
        <f t="shared" si="39"/>
        <v>0.14400000000000002</v>
      </c>
      <c r="AU9" s="143"/>
      <c r="AV9" s="608"/>
      <c r="AW9" s="588">
        <f t="shared" si="12"/>
        <v>4.5999999999999999E-2</v>
      </c>
      <c r="AX9" s="483">
        <f t="shared" si="13"/>
        <v>4.5999999999999999E-2</v>
      </c>
      <c r="AY9" s="483">
        <f t="shared" si="14"/>
        <v>4.5999999999999999E-2</v>
      </c>
      <c r="AZ9" s="483">
        <f t="shared" si="40"/>
        <v>0.13800000000000001</v>
      </c>
      <c r="BA9" s="143"/>
      <c r="BB9" s="588">
        <f t="shared" si="15"/>
        <v>4.4000000000000004E-2</v>
      </c>
      <c r="BC9" s="483">
        <f t="shared" si="16"/>
        <v>4.4000000000000004E-2</v>
      </c>
      <c r="BD9" s="483">
        <f t="shared" si="17"/>
        <v>4.4000000000000004E-2</v>
      </c>
      <c r="BE9" s="483">
        <f t="shared" si="41"/>
        <v>0.13200000000000001</v>
      </c>
      <c r="BF9" s="143"/>
      <c r="BG9" s="588">
        <f t="shared" si="18"/>
        <v>4.2000000000000003E-2</v>
      </c>
      <c r="BH9" s="483">
        <f t="shared" si="19"/>
        <v>4.2000000000000003E-2</v>
      </c>
      <c r="BI9" s="483">
        <f t="shared" si="20"/>
        <v>4.2000000000000003E-2</v>
      </c>
      <c r="BJ9" s="483">
        <f t="shared" si="42"/>
        <v>0.126</v>
      </c>
      <c r="BK9" s="143"/>
      <c r="BL9" s="588">
        <f t="shared" si="21"/>
        <v>0.04</v>
      </c>
      <c r="BM9" s="483">
        <f t="shared" si="22"/>
        <v>0.04</v>
      </c>
      <c r="BN9" s="483">
        <f t="shared" si="23"/>
        <v>0.04</v>
      </c>
      <c r="BO9" s="483">
        <f t="shared" ref="BO9:BO15" si="51">SUM((BL9+BM9+BN9))</f>
        <v>0.12</v>
      </c>
      <c r="BP9" s="143"/>
      <c r="BQ9" s="290"/>
      <c r="BR9" s="588">
        <f t="shared" si="24"/>
        <v>3.8000000000000006E-2</v>
      </c>
      <c r="BS9" s="483">
        <f t="shared" si="25"/>
        <v>3.8000000000000006E-2</v>
      </c>
      <c r="BT9" s="483">
        <f t="shared" si="26"/>
        <v>3.8000000000000006E-2</v>
      </c>
      <c r="BU9" s="483">
        <f t="shared" ref="BU9:BU15" si="52">SUM((BR9+BS9+BT9))</f>
        <v>0.11400000000000002</v>
      </c>
      <c r="BV9" s="143"/>
      <c r="BW9" s="588">
        <f t="shared" si="27"/>
        <v>3.6000000000000004E-2</v>
      </c>
      <c r="BX9" s="483">
        <f t="shared" si="28"/>
        <v>3.6000000000000004E-2</v>
      </c>
      <c r="BY9" s="483">
        <f t="shared" si="29"/>
        <v>3.6000000000000004E-2</v>
      </c>
      <c r="BZ9" s="483">
        <f t="shared" ref="BZ9:BZ15" si="53">SUM((BW9+BX9+BY9))</f>
        <v>0.10800000000000001</v>
      </c>
      <c r="CA9" s="143"/>
      <c r="CB9" s="588">
        <f t="shared" si="30"/>
        <v>3.4000000000000002E-2</v>
      </c>
      <c r="CC9" s="483">
        <f t="shared" si="31"/>
        <v>3.4000000000000002E-2</v>
      </c>
      <c r="CD9" s="483">
        <f t="shared" si="32"/>
        <v>3.4000000000000002E-2</v>
      </c>
      <c r="CE9" s="483">
        <f t="shared" ref="CE9:CE16" si="54">SUM((CB9+CC9+CD9))</f>
        <v>0.10200000000000001</v>
      </c>
      <c r="CF9" s="143"/>
      <c r="CG9" s="588">
        <f t="shared" si="33"/>
        <v>3.2000000000000001E-2</v>
      </c>
      <c r="CH9" s="483">
        <f t="shared" si="34"/>
        <v>3.2000000000000001E-2</v>
      </c>
      <c r="CI9" s="483">
        <f t="shared" si="35"/>
        <v>3.2000000000000001E-2</v>
      </c>
      <c r="CJ9" s="483">
        <f t="shared" ref="CJ9:CJ16" si="55">SUM((CG9+CH9+CI9))</f>
        <v>9.6000000000000002E-2</v>
      </c>
      <c r="CK9" s="143"/>
    </row>
    <row r="10" spans="1:179" s="144" customFormat="1" ht="9.75" customHeight="1" x14ac:dyDescent="0.15">
      <c r="A10" s="472" t="s">
        <v>136</v>
      </c>
      <c r="B10" s="145">
        <v>0.06</v>
      </c>
      <c r="C10" s="126">
        <v>-5.0000000000000001E-3</v>
      </c>
      <c r="D10" s="626"/>
      <c r="E10" s="292"/>
      <c r="F10" s="146">
        <v>0</v>
      </c>
      <c r="G10" s="147">
        <v>0.02</v>
      </c>
      <c r="H10" s="484">
        <f t="shared" ref="H10:H13" si="56">SUM(IF((0*(IF(ISBLANK(E10),C10,E10)))+(IF(ISBLANK(D10),B10,D10)) &lt; 0, 0, (0*(IF(ISBLANK(E10),C10,E10)))+(IF(ISBLANK(D10),B10,D10))))</f>
        <v>0.06</v>
      </c>
      <c r="I10" s="484">
        <f t="shared" ref="I10:I13" si="57">SUM(IF((1*(IF(ISBLANK(E10),C10,E10)))+(IF(ISBLANK(D10),B10,D10)) &lt; 0, 0, (1*(IF(ISBLANK(E10),C10,E10)))+(IF(ISBLANK(D10),B10,D10))))</f>
        <v>5.5E-2</v>
      </c>
      <c r="J10" s="148">
        <f t="shared" ref="J10:J13" si="58">SUM(((1+F10)*(1+F10)*(1+F10)*(1+G10)*(1+G10)*(1+G10)*(1+H10)*(1+H10)*(1+H10)*(1+I10)*(1+I10)*(1+I10))-1)</f>
        <v>0.48414211805692831</v>
      </c>
      <c r="K10" s="484">
        <f t="shared" ref="K10:K13" si="59">SUM(IF((2*(IF(ISBLANK(E10),C10,E10)))+(IF(ISBLANK(D10),B10,D10)) &lt; 0, 0, (2*(IF(ISBLANK(E10),C10,E10)))+(IF(ISBLANK(D10),B10,D10))))</f>
        <v>4.9999999999999996E-2</v>
      </c>
      <c r="L10" s="484">
        <f t="shared" ref="L10:L13" si="60">SUM(IF((3*(IF(ISBLANK(E10),C10,E10)))+(IF(ISBLANK(D10),B10,D10)) &lt; 0, 0, (3*(IF(ISBLANK(E10),C10,E10)))+(IF(ISBLANK(D10),B10,D10))))</f>
        <v>4.4999999999999998E-2</v>
      </c>
      <c r="M10" s="484">
        <f t="shared" ref="M10:M13" si="61">SUM(IF((4*(IF(ISBLANK(E10),C10,E10)))+(IF(ISBLANK(D10),B10,D10)) &lt; 0, 0, (4*(IF(ISBLANK(E10),C10,E10)))+(IF(ISBLANK(D10),B10,D10))))</f>
        <v>3.9999999999999994E-2</v>
      </c>
      <c r="N10" s="484">
        <f t="shared" ref="N10:N13" si="62">SUM(IF((5*(IF(ISBLANK(E10),C10,E10)))+(IF(ISBLANK(D10),B10,D10)) &lt; 0, 0, (5*(IF(ISBLANK(E10),C10,E10)))+(IF(ISBLANK(D10),B10,D10))))</f>
        <v>3.4999999999999996E-2</v>
      </c>
      <c r="O10" s="148">
        <f t="shared" ref="O10:O15" si="63">SUM(((1+K10)*(1+K10)*(1+K10)*(1+L10)*(1+L10)*(1+L10)*(1+M10)*(1+M10)*(1+M10)*(1+N10)*(1+N10)*(1+N10))-1)</f>
        <v>0.64754708783075721</v>
      </c>
      <c r="P10" s="484">
        <f t="shared" ref="P10:P13" si="64">SUM(IF((6*(IF(ISBLANK(E10),C10,E10)))+(IF(ISBLANK(D10),B10,D10)) &lt; 0, 0, (6*(IF(ISBLANK(E10),C10,E10)))+(IF(ISBLANK(D10),B10,D10))))</f>
        <v>0.03</v>
      </c>
      <c r="Q10" s="484">
        <f t="shared" ref="Q10:Q13" si="65">SUM(IF((7*(IF(ISBLANK(E10),C10,E10)))+(IF(ISBLANK(D10),B10,D10)) &lt; 0, 0, (7*(IF(ISBLANK(E10),C10,E10)))+(IF(ISBLANK(D10),B10,D10))))</f>
        <v>2.4999999999999994E-2</v>
      </c>
      <c r="R10" s="484">
        <f t="shared" ref="R10:R13" si="66">SUM(IF((8*(IF(ISBLANK(E10),C10,E10)))+(IF(ISBLANK(D10),B10,D10)) &lt; 0, 0, (8*(IF(ISBLANK(E10),C10,E10)))+(IF(ISBLANK(D10),B10,D10))))</f>
        <v>1.9999999999999997E-2</v>
      </c>
      <c r="S10" s="484">
        <f t="shared" ref="S10:S13" si="67">SUM(IF((9*(IF(ISBLANK(E10),C10,E10)))+(IF(ISBLANK(D10),B10,D10)) &lt; 0, 0, (9*(IF(ISBLANK(E10),C10,E10)))+(IF(ISBLANK(D10),B10,D10))))</f>
        <v>1.4999999999999999E-2</v>
      </c>
      <c r="T10" s="126">
        <f t="shared" ref="T10:T15" si="68">SUM(((1+P10)*(1+P10)*(1+P10)*(1+Q10)*(1+Q10)*(1+Q10)*(1+R10)*(1+R10)*(1+R10)*(1+S10)*(1+S10)*(1+S10))-1)</f>
        <v>0.30581577950677752</v>
      </c>
      <c r="U10" s="293"/>
      <c r="V10" s="150">
        <f>SUM(IF((12*(IF(ISBLANK(E10),C10,E10)))+(IF(ISBLANK(D10),B10,D10)) &lt; 0, 0, (12*(IF(ISBLANK(E10),C10,E10)))+(IF(ISBLANK(D10),B10,D10))))*12</f>
        <v>0</v>
      </c>
      <c r="W10" s="148">
        <f>SUM(IF((15*(IF(ISBLANK(E10),C10,E10)))+(IF(ISBLANK(D10),B10,D10)) &lt; 0, 0, (15*(IF(ISBLANK(E10),C10,E10)))+(IF(ISBLANK(D10),B10,D10))))*12</f>
        <v>0</v>
      </c>
      <c r="X10" s="149">
        <f>SUM(IF((18*(IF(ISBLANK(E10),C10,E10)))+(IF(ISBLANK(D10),B10,D10)) &lt; 0, 0, (18*(IF(ISBLANK(E10),C10,E10)))+(IF(ISBLANK(D10),B10,D10))))*12</f>
        <v>0</v>
      </c>
      <c r="Y10" s="151"/>
      <c r="Z10" s="571">
        <v>0</v>
      </c>
      <c r="AA10" s="609"/>
      <c r="AB10" s="589">
        <f t="shared" si="0"/>
        <v>0</v>
      </c>
      <c r="AC10" s="484">
        <f t="shared" si="1"/>
        <v>0</v>
      </c>
      <c r="AD10" s="484">
        <f t="shared" si="2"/>
        <v>0</v>
      </c>
      <c r="AE10" s="484">
        <f t="shared" si="36"/>
        <v>0</v>
      </c>
      <c r="AF10" s="152"/>
      <c r="AG10" s="589">
        <f t="shared" si="3"/>
        <v>0.02</v>
      </c>
      <c r="AH10" s="484">
        <f t="shared" si="4"/>
        <v>0.02</v>
      </c>
      <c r="AI10" s="484">
        <f t="shared" si="5"/>
        <v>0.02</v>
      </c>
      <c r="AJ10" s="484">
        <f t="shared" si="37"/>
        <v>0.06</v>
      </c>
      <c r="AK10" s="152"/>
      <c r="AL10" s="589">
        <f t="shared" si="6"/>
        <v>0.06</v>
      </c>
      <c r="AM10" s="484">
        <f t="shared" si="7"/>
        <v>0.06</v>
      </c>
      <c r="AN10" s="484">
        <f t="shared" si="8"/>
        <v>0.06</v>
      </c>
      <c r="AO10" s="484">
        <f t="shared" si="38"/>
        <v>0.18</v>
      </c>
      <c r="AP10" s="152"/>
      <c r="AQ10" s="589">
        <f t="shared" si="9"/>
        <v>5.5E-2</v>
      </c>
      <c r="AR10" s="484">
        <f t="shared" si="10"/>
        <v>5.5E-2</v>
      </c>
      <c r="AS10" s="484">
        <f t="shared" si="11"/>
        <v>5.5E-2</v>
      </c>
      <c r="AT10" s="484">
        <f t="shared" si="39"/>
        <v>0.16500000000000001</v>
      </c>
      <c r="AU10" s="152"/>
      <c r="AV10" s="609"/>
      <c r="AW10" s="589">
        <f t="shared" si="12"/>
        <v>4.9999999999999996E-2</v>
      </c>
      <c r="AX10" s="484">
        <f t="shared" si="13"/>
        <v>4.9999999999999996E-2</v>
      </c>
      <c r="AY10" s="484">
        <f t="shared" si="14"/>
        <v>4.9999999999999996E-2</v>
      </c>
      <c r="AZ10" s="484">
        <f t="shared" si="40"/>
        <v>0.15</v>
      </c>
      <c r="BA10" s="152"/>
      <c r="BB10" s="589">
        <f t="shared" si="15"/>
        <v>4.4999999999999998E-2</v>
      </c>
      <c r="BC10" s="484">
        <f t="shared" si="16"/>
        <v>4.4999999999999998E-2</v>
      </c>
      <c r="BD10" s="484">
        <f t="shared" si="17"/>
        <v>4.4999999999999998E-2</v>
      </c>
      <c r="BE10" s="484">
        <f t="shared" si="41"/>
        <v>0.13500000000000001</v>
      </c>
      <c r="BF10" s="152"/>
      <c r="BG10" s="589">
        <f t="shared" si="18"/>
        <v>3.9999999999999994E-2</v>
      </c>
      <c r="BH10" s="484">
        <f t="shared" si="19"/>
        <v>3.9999999999999994E-2</v>
      </c>
      <c r="BI10" s="484">
        <f t="shared" si="20"/>
        <v>3.9999999999999994E-2</v>
      </c>
      <c r="BJ10" s="484">
        <f t="shared" si="42"/>
        <v>0.11999999999999998</v>
      </c>
      <c r="BK10" s="152"/>
      <c r="BL10" s="589">
        <f t="shared" si="21"/>
        <v>3.4999999999999996E-2</v>
      </c>
      <c r="BM10" s="484">
        <f t="shared" si="22"/>
        <v>3.4999999999999996E-2</v>
      </c>
      <c r="BN10" s="484">
        <f t="shared" si="23"/>
        <v>3.4999999999999996E-2</v>
      </c>
      <c r="BO10" s="484">
        <f t="shared" si="51"/>
        <v>0.10499999999999998</v>
      </c>
      <c r="BP10" s="152"/>
      <c r="BQ10" s="293"/>
      <c r="BR10" s="589">
        <f t="shared" si="24"/>
        <v>0.03</v>
      </c>
      <c r="BS10" s="484">
        <f t="shared" si="25"/>
        <v>0.03</v>
      </c>
      <c r="BT10" s="484">
        <f t="shared" si="26"/>
        <v>0.03</v>
      </c>
      <c r="BU10" s="484">
        <f t="shared" si="52"/>
        <v>0.09</v>
      </c>
      <c r="BV10" s="152"/>
      <c r="BW10" s="589">
        <f t="shared" si="27"/>
        <v>2.4999999999999994E-2</v>
      </c>
      <c r="BX10" s="484">
        <f t="shared" si="28"/>
        <v>2.4999999999999994E-2</v>
      </c>
      <c r="BY10" s="484">
        <f t="shared" si="29"/>
        <v>2.4999999999999994E-2</v>
      </c>
      <c r="BZ10" s="484">
        <f t="shared" si="53"/>
        <v>7.4999999999999983E-2</v>
      </c>
      <c r="CA10" s="152"/>
      <c r="CB10" s="589">
        <f t="shared" si="30"/>
        <v>1.9999999999999997E-2</v>
      </c>
      <c r="CC10" s="484">
        <f t="shared" si="31"/>
        <v>1.9999999999999997E-2</v>
      </c>
      <c r="CD10" s="484">
        <f t="shared" si="32"/>
        <v>1.9999999999999997E-2</v>
      </c>
      <c r="CE10" s="484">
        <f t="shared" si="54"/>
        <v>5.9999999999999991E-2</v>
      </c>
      <c r="CF10" s="152"/>
      <c r="CG10" s="589">
        <f t="shared" si="33"/>
        <v>1.4999999999999999E-2</v>
      </c>
      <c r="CH10" s="484">
        <f t="shared" si="34"/>
        <v>1.4999999999999999E-2</v>
      </c>
      <c r="CI10" s="484">
        <f t="shared" si="35"/>
        <v>1.4999999999999999E-2</v>
      </c>
      <c r="CJ10" s="484">
        <f t="shared" si="55"/>
        <v>4.4999999999999998E-2</v>
      </c>
      <c r="CK10" s="152"/>
    </row>
    <row r="11" spans="1:179" s="144" customFormat="1" ht="9.75" customHeight="1" x14ac:dyDescent="0.15">
      <c r="A11" s="472" t="s">
        <v>138</v>
      </c>
      <c r="B11" s="145">
        <v>0.06</v>
      </c>
      <c r="C11" s="126">
        <v>-2E-3</v>
      </c>
      <c r="D11" s="626"/>
      <c r="E11" s="292"/>
      <c r="F11" s="146">
        <v>0</v>
      </c>
      <c r="G11" s="147">
        <v>0.02</v>
      </c>
      <c r="H11" s="484">
        <f t="shared" si="56"/>
        <v>0.06</v>
      </c>
      <c r="I11" s="484">
        <f t="shared" si="57"/>
        <v>5.7999999999999996E-2</v>
      </c>
      <c r="J11" s="148">
        <f t="shared" si="58"/>
        <v>0.496839082842915</v>
      </c>
      <c r="K11" s="484">
        <f t="shared" si="59"/>
        <v>5.5999999999999994E-2</v>
      </c>
      <c r="L11" s="484">
        <f t="shared" si="60"/>
        <v>5.3999999999999999E-2</v>
      </c>
      <c r="M11" s="484">
        <f t="shared" si="61"/>
        <v>5.1999999999999998E-2</v>
      </c>
      <c r="N11" s="484">
        <f t="shared" si="62"/>
        <v>4.9999999999999996E-2</v>
      </c>
      <c r="O11" s="148">
        <f t="shared" si="63"/>
        <v>0.85835510009405391</v>
      </c>
      <c r="P11" s="484">
        <f t="shared" si="64"/>
        <v>4.8000000000000001E-2</v>
      </c>
      <c r="Q11" s="484">
        <f t="shared" si="65"/>
        <v>4.5999999999999999E-2</v>
      </c>
      <c r="R11" s="484">
        <f t="shared" si="66"/>
        <v>4.3999999999999997E-2</v>
      </c>
      <c r="S11" s="484">
        <f t="shared" si="67"/>
        <v>4.1999999999999996E-2</v>
      </c>
      <c r="T11" s="126">
        <f t="shared" si="68"/>
        <v>0.69583484415024044</v>
      </c>
      <c r="U11" s="293"/>
      <c r="V11" s="150">
        <f>SUM(IF((12*(IF(ISBLANK(E11),C11,E11)))+(IF(ISBLANK(D11),B11,D11)) &lt; 0, 0, (12*(IF(ISBLANK(E11),C11,E11)))+(IF(ISBLANK(D11),B11,D11))))*12</f>
        <v>0.43199999999999994</v>
      </c>
      <c r="W11" s="148">
        <f>SUM(IF((15*(IF(ISBLANK(E11),C11,E11)))+(IF(ISBLANK(D11),B11,D11)) &lt; 0, 0, (15*(IF(ISBLANK(E11),C11,E11)))+(IF(ISBLANK(D11),B11,D11))))*12</f>
        <v>0.36</v>
      </c>
      <c r="X11" s="149">
        <f>SUM(IF((18*(IF(ISBLANK(E11),C11,E11)))+(IF(ISBLANK(D11),B11,D11)) &lt; 0, 0, (18*(IF(ISBLANK(E11),C11,E11)))+(IF(ISBLANK(D11),B11,D11))))*12</f>
        <v>0.28799999999999992</v>
      </c>
      <c r="Y11" s="151"/>
      <c r="Z11" s="571">
        <v>0</v>
      </c>
      <c r="AA11" s="609"/>
      <c r="AB11" s="589">
        <f t="shared" si="0"/>
        <v>0</v>
      </c>
      <c r="AC11" s="484">
        <f t="shared" si="1"/>
        <v>0</v>
      </c>
      <c r="AD11" s="484">
        <f t="shared" si="2"/>
        <v>0</v>
      </c>
      <c r="AE11" s="484">
        <f t="shared" si="36"/>
        <v>0</v>
      </c>
      <c r="AF11" s="152"/>
      <c r="AG11" s="589">
        <f t="shared" si="3"/>
        <v>0.02</v>
      </c>
      <c r="AH11" s="484">
        <f t="shared" si="4"/>
        <v>0.02</v>
      </c>
      <c r="AI11" s="484">
        <f t="shared" si="5"/>
        <v>0.02</v>
      </c>
      <c r="AJ11" s="484">
        <f t="shared" si="37"/>
        <v>0.06</v>
      </c>
      <c r="AK11" s="152"/>
      <c r="AL11" s="589">
        <f t="shared" si="6"/>
        <v>0.06</v>
      </c>
      <c r="AM11" s="484">
        <f t="shared" si="7"/>
        <v>0.06</v>
      </c>
      <c r="AN11" s="484">
        <f t="shared" si="8"/>
        <v>0.06</v>
      </c>
      <c r="AO11" s="484">
        <f t="shared" si="38"/>
        <v>0.18</v>
      </c>
      <c r="AP11" s="152"/>
      <c r="AQ11" s="589">
        <f t="shared" si="9"/>
        <v>5.7999999999999996E-2</v>
      </c>
      <c r="AR11" s="484">
        <f t="shared" si="10"/>
        <v>5.7999999999999996E-2</v>
      </c>
      <c r="AS11" s="484">
        <f t="shared" si="11"/>
        <v>5.7999999999999996E-2</v>
      </c>
      <c r="AT11" s="484">
        <f t="shared" si="39"/>
        <v>0.17399999999999999</v>
      </c>
      <c r="AU11" s="152"/>
      <c r="AV11" s="609"/>
      <c r="AW11" s="589">
        <f t="shared" si="12"/>
        <v>5.5999999999999994E-2</v>
      </c>
      <c r="AX11" s="484">
        <f t="shared" si="13"/>
        <v>5.5999999999999994E-2</v>
      </c>
      <c r="AY11" s="484">
        <f t="shared" si="14"/>
        <v>5.5999999999999994E-2</v>
      </c>
      <c r="AZ11" s="484">
        <f t="shared" si="40"/>
        <v>0.16799999999999998</v>
      </c>
      <c r="BA11" s="152"/>
      <c r="BB11" s="589">
        <f t="shared" si="15"/>
        <v>5.3999999999999999E-2</v>
      </c>
      <c r="BC11" s="484">
        <f t="shared" si="16"/>
        <v>5.3999999999999999E-2</v>
      </c>
      <c r="BD11" s="484">
        <f t="shared" si="17"/>
        <v>5.3999999999999999E-2</v>
      </c>
      <c r="BE11" s="484">
        <f t="shared" si="41"/>
        <v>0.16200000000000001</v>
      </c>
      <c r="BF11" s="152"/>
      <c r="BG11" s="589">
        <f t="shared" si="18"/>
        <v>5.1999999999999998E-2</v>
      </c>
      <c r="BH11" s="484">
        <f t="shared" si="19"/>
        <v>5.1999999999999998E-2</v>
      </c>
      <c r="BI11" s="484">
        <f t="shared" si="20"/>
        <v>5.1999999999999998E-2</v>
      </c>
      <c r="BJ11" s="484">
        <f t="shared" si="42"/>
        <v>0.156</v>
      </c>
      <c r="BK11" s="152"/>
      <c r="BL11" s="589">
        <f t="shared" si="21"/>
        <v>4.9999999999999996E-2</v>
      </c>
      <c r="BM11" s="484">
        <f t="shared" si="22"/>
        <v>4.9999999999999996E-2</v>
      </c>
      <c r="BN11" s="484">
        <f t="shared" si="23"/>
        <v>4.9999999999999996E-2</v>
      </c>
      <c r="BO11" s="484">
        <f t="shared" si="51"/>
        <v>0.15</v>
      </c>
      <c r="BP11" s="152"/>
      <c r="BQ11" s="293"/>
      <c r="BR11" s="589">
        <f t="shared" si="24"/>
        <v>4.8000000000000001E-2</v>
      </c>
      <c r="BS11" s="484">
        <f t="shared" si="25"/>
        <v>4.8000000000000001E-2</v>
      </c>
      <c r="BT11" s="484">
        <f t="shared" si="26"/>
        <v>4.8000000000000001E-2</v>
      </c>
      <c r="BU11" s="484">
        <f t="shared" si="52"/>
        <v>0.14400000000000002</v>
      </c>
      <c r="BV11" s="152"/>
      <c r="BW11" s="589">
        <f t="shared" si="27"/>
        <v>4.5999999999999999E-2</v>
      </c>
      <c r="BX11" s="484">
        <f t="shared" si="28"/>
        <v>4.5999999999999999E-2</v>
      </c>
      <c r="BY11" s="484">
        <f t="shared" si="29"/>
        <v>4.5999999999999999E-2</v>
      </c>
      <c r="BZ11" s="484">
        <f t="shared" si="53"/>
        <v>0.13800000000000001</v>
      </c>
      <c r="CA11" s="152"/>
      <c r="CB11" s="589">
        <f t="shared" si="30"/>
        <v>4.3999999999999997E-2</v>
      </c>
      <c r="CC11" s="484">
        <f t="shared" si="31"/>
        <v>4.3999999999999997E-2</v>
      </c>
      <c r="CD11" s="484">
        <f t="shared" si="32"/>
        <v>4.3999999999999997E-2</v>
      </c>
      <c r="CE11" s="484">
        <f t="shared" si="54"/>
        <v>0.13200000000000001</v>
      </c>
      <c r="CF11" s="152"/>
      <c r="CG11" s="589">
        <f t="shared" si="33"/>
        <v>4.1999999999999996E-2</v>
      </c>
      <c r="CH11" s="484">
        <f t="shared" si="34"/>
        <v>4.1999999999999996E-2</v>
      </c>
      <c r="CI11" s="484">
        <f t="shared" si="35"/>
        <v>4.1999999999999996E-2</v>
      </c>
      <c r="CJ11" s="484">
        <f t="shared" si="55"/>
        <v>0.126</v>
      </c>
      <c r="CK11" s="152"/>
    </row>
    <row r="12" spans="1:179" s="144" customFormat="1" ht="9.75" customHeight="1" x14ac:dyDescent="0.15">
      <c r="A12" s="472" t="s">
        <v>137</v>
      </c>
      <c r="B12" s="145">
        <v>0.06</v>
      </c>
      <c r="C12" s="126">
        <v>-1.7999999999999999E-2</v>
      </c>
      <c r="D12" s="291"/>
      <c r="E12" s="292"/>
      <c r="F12" s="146">
        <v>0</v>
      </c>
      <c r="G12" s="147">
        <v>0.05</v>
      </c>
      <c r="H12" s="484">
        <f t="shared" si="56"/>
        <v>0.06</v>
      </c>
      <c r="I12" s="484">
        <f t="shared" si="57"/>
        <v>4.1999999999999996E-2</v>
      </c>
      <c r="J12" s="148">
        <f t="shared" si="58"/>
        <v>0.55987087729929375</v>
      </c>
      <c r="K12" s="484">
        <f t="shared" si="59"/>
        <v>2.4E-2</v>
      </c>
      <c r="L12" s="484">
        <f t="shared" si="60"/>
        <v>6.0000000000000053E-3</v>
      </c>
      <c r="M12" s="484">
        <f t="shared" si="61"/>
        <v>0</v>
      </c>
      <c r="N12" s="484">
        <f t="shared" si="62"/>
        <v>0</v>
      </c>
      <c r="O12" s="148">
        <f t="shared" si="63"/>
        <v>9.3185372877226058E-2</v>
      </c>
      <c r="P12" s="484">
        <f t="shared" si="64"/>
        <v>0</v>
      </c>
      <c r="Q12" s="484">
        <f t="shared" si="65"/>
        <v>0</v>
      </c>
      <c r="R12" s="484">
        <f t="shared" si="66"/>
        <v>0</v>
      </c>
      <c r="S12" s="484">
        <f t="shared" si="67"/>
        <v>0</v>
      </c>
      <c r="T12" s="126">
        <f t="shared" si="68"/>
        <v>0</v>
      </c>
      <c r="U12" s="293"/>
      <c r="V12" s="150">
        <f>SUM(IF((12*(IF(ISBLANK(E12),C12,E12)))+(IF(ISBLANK(D12),B12,D12)) &lt; 0, 0, (12*(IF(ISBLANK(E12),C12,E12)))+(IF(ISBLANK(D12),B12,D12))))*12</f>
        <v>0</v>
      </c>
      <c r="W12" s="148">
        <f>SUM(IF((15*(IF(ISBLANK(E12),C12,E12)))+(IF(ISBLANK(D12),B12,D12)) &lt; 0, 0, (15*(IF(ISBLANK(E12),C12,E12)))+(IF(ISBLANK(D12),B12,D12))))*12</f>
        <v>0</v>
      </c>
      <c r="X12" s="149">
        <f>SUM(IF((18*(IF(ISBLANK(E12),C12,E12)))+(IF(ISBLANK(D12),B12,D12)) &lt; 0, 0, (18*(IF(ISBLANK(E12),C12,E12)))+(IF(ISBLANK(D12),B12,D12))))*12</f>
        <v>0</v>
      </c>
      <c r="Y12" s="151"/>
      <c r="Z12" s="571">
        <v>0</v>
      </c>
      <c r="AA12" s="609"/>
      <c r="AB12" s="589">
        <f t="shared" si="0"/>
        <v>0</v>
      </c>
      <c r="AC12" s="484">
        <f t="shared" si="1"/>
        <v>0</v>
      </c>
      <c r="AD12" s="484">
        <f t="shared" si="2"/>
        <v>0</v>
      </c>
      <c r="AE12" s="484">
        <f t="shared" si="36"/>
        <v>0</v>
      </c>
      <c r="AF12" s="152"/>
      <c r="AG12" s="589">
        <f t="shared" si="3"/>
        <v>0.05</v>
      </c>
      <c r="AH12" s="484">
        <f t="shared" si="4"/>
        <v>0.05</v>
      </c>
      <c r="AI12" s="484">
        <f t="shared" si="5"/>
        <v>0.05</v>
      </c>
      <c r="AJ12" s="484">
        <f t="shared" si="37"/>
        <v>0.15000000000000002</v>
      </c>
      <c r="AK12" s="152"/>
      <c r="AL12" s="589">
        <f t="shared" si="6"/>
        <v>0.06</v>
      </c>
      <c r="AM12" s="484">
        <f t="shared" si="7"/>
        <v>0.06</v>
      </c>
      <c r="AN12" s="484">
        <f t="shared" si="8"/>
        <v>0.06</v>
      </c>
      <c r="AO12" s="484">
        <f t="shared" si="38"/>
        <v>0.18</v>
      </c>
      <c r="AP12" s="152"/>
      <c r="AQ12" s="589">
        <f t="shared" si="9"/>
        <v>4.1999999999999996E-2</v>
      </c>
      <c r="AR12" s="484">
        <f t="shared" si="10"/>
        <v>4.1999999999999996E-2</v>
      </c>
      <c r="AS12" s="484">
        <f t="shared" si="11"/>
        <v>4.1999999999999996E-2</v>
      </c>
      <c r="AT12" s="484">
        <f t="shared" si="39"/>
        <v>0.126</v>
      </c>
      <c r="AU12" s="152"/>
      <c r="AV12" s="609"/>
      <c r="AW12" s="589">
        <f t="shared" si="12"/>
        <v>2.4E-2</v>
      </c>
      <c r="AX12" s="484">
        <f t="shared" si="13"/>
        <v>2.4E-2</v>
      </c>
      <c r="AY12" s="484">
        <f t="shared" si="14"/>
        <v>2.4E-2</v>
      </c>
      <c r="AZ12" s="484">
        <f t="shared" si="40"/>
        <v>7.2000000000000008E-2</v>
      </c>
      <c r="BA12" s="152"/>
      <c r="BB12" s="589">
        <f t="shared" si="15"/>
        <v>6.0000000000000053E-3</v>
      </c>
      <c r="BC12" s="484">
        <f t="shared" si="16"/>
        <v>6.0000000000000053E-3</v>
      </c>
      <c r="BD12" s="484">
        <f t="shared" si="17"/>
        <v>6.0000000000000053E-3</v>
      </c>
      <c r="BE12" s="484">
        <f t="shared" si="41"/>
        <v>1.8000000000000016E-2</v>
      </c>
      <c r="BF12" s="152"/>
      <c r="BG12" s="589">
        <f t="shared" si="18"/>
        <v>0</v>
      </c>
      <c r="BH12" s="484">
        <f t="shared" si="19"/>
        <v>0</v>
      </c>
      <c r="BI12" s="484">
        <f t="shared" si="20"/>
        <v>0</v>
      </c>
      <c r="BJ12" s="484">
        <f t="shared" si="42"/>
        <v>0</v>
      </c>
      <c r="BK12" s="152"/>
      <c r="BL12" s="589">
        <f t="shared" si="21"/>
        <v>0</v>
      </c>
      <c r="BM12" s="484">
        <f t="shared" si="22"/>
        <v>0</v>
      </c>
      <c r="BN12" s="484">
        <f t="shared" si="23"/>
        <v>0</v>
      </c>
      <c r="BO12" s="484">
        <f t="shared" si="51"/>
        <v>0</v>
      </c>
      <c r="BP12" s="152"/>
      <c r="BQ12" s="293"/>
      <c r="BR12" s="589">
        <f t="shared" si="24"/>
        <v>0</v>
      </c>
      <c r="BS12" s="484">
        <f t="shared" si="25"/>
        <v>0</v>
      </c>
      <c r="BT12" s="484">
        <f t="shared" si="26"/>
        <v>0</v>
      </c>
      <c r="BU12" s="484">
        <f t="shared" si="52"/>
        <v>0</v>
      </c>
      <c r="BV12" s="152"/>
      <c r="BW12" s="589">
        <f t="shared" si="27"/>
        <v>0</v>
      </c>
      <c r="BX12" s="484">
        <f t="shared" si="28"/>
        <v>0</v>
      </c>
      <c r="BY12" s="484">
        <f t="shared" si="29"/>
        <v>0</v>
      </c>
      <c r="BZ12" s="484">
        <f t="shared" si="53"/>
        <v>0</v>
      </c>
      <c r="CA12" s="152"/>
      <c r="CB12" s="589">
        <f t="shared" si="30"/>
        <v>0</v>
      </c>
      <c r="CC12" s="484">
        <f t="shared" si="31"/>
        <v>0</v>
      </c>
      <c r="CD12" s="484">
        <f t="shared" si="32"/>
        <v>0</v>
      </c>
      <c r="CE12" s="484">
        <f t="shared" si="54"/>
        <v>0</v>
      </c>
      <c r="CF12" s="152"/>
      <c r="CG12" s="589">
        <f t="shared" si="33"/>
        <v>0</v>
      </c>
      <c r="CH12" s="484">
        <f t="shared" si="34"/>
        <v>0</v>
      </c>
      <c r="CI12" s="484">
        <f t="shared" si="35"/>
        <v>0</v>
      </c>
      <c r="CJ12" s="484">
        <f t="shared" si="55"/>
        <v>0</v>
      </c>
      <c r="CK12" s="152"/>
      <c r="CL12" s="153"/>
      <c r="CM12" s="153"/>
      <c r="CN12" s="153"/>
      <c r="CO12" s="153"/>
      <c r="CP12" s="153"/>
      <c r="CQ12" s="153"/>
      <c r="CR12" s="153"/>
      <c r="CS12" s="153"/>
      <c r="CT12" s="153"/>
      <c r="CU12" s="153"/>
      <c r="CV12" s="153"/>
      <c r="CW12" s="153"/>
      <c r="CX12" s="153"/>
      <c r="CY12" s="153"/>
      <c r="CZ12" s="153"/>
      <c r="DA12" s="153"/>
      <c r="DB12" s="153"/>
      <c r="DC12" s="153"/>
      <c r="DD12" s="153"/>
      <c r="DE12" s="153"/>
      <c r="DF12" s="153"/>
      <c r="DG12" s="153"/>
      <c r="DH12" s="153"/>
      <c r="DI12" s="153"/>
      <c r="DJ12" s="153"/>
      <c r="DK12" s="153"/>
      <c r="DL12" s="153"/>
      <c r="DM12" s="153"/>
      <c r="DN12" s="153"/>
      <c r="DO12" s="153"/>
      <c r="DP12" s="153"/>
      <c r="DQ12" s="153"/>
      <c r="DR12" s="153"/>
      <c r="DS12" s="153"/>
      <c r="DT12" s="153"/>
      <c r="DU12" s="153"/>
      <c r="DV12" s="153"/>
      <c r="DW12" s="153"/>
      <c r="DX12" s="153"/>
      <c r="DY12" s="153"/>
      <c r="DZ12" s="153"/>
      <c r="EA12" s="153"/>
      <c r="EB12" s="153"/>
      <c r="EC12" s="153"/>
      <c r="ED12" s="153"/>
      <c r="EE12" s="153"/>
      <c r="EF12" s="153"/>
      <c r="EG12" s="153"/>
      <c r="EH12" s="153"/>
      <c r="EI12" s="153"/>
      <c r="EJ12" s="153"/>
      <c r="EK12" s="153"/>
      <c r="EL12" s="153"/>
      <c r="EM12" s="153"/>
      <c r="EN12" s="153"/>
      <c r="EO12" s="153"/>
      <c r="EP12" s="153"/>
      <c r="EQ12" s="153"/>
      <c r="ER12" s="153"/>
      <c r="ES12" s="153"/>
      <c r="ET12" s="153"/>
      <c r="EU12" s="153"/>
      <c r="EV12" s="153"/>
      <c r="EW12" s="153"/>
      <c r="EX12" s="153"/>
      <c r="EY12" s="153"/>
      <c r="EZ12" s="153"/>
      <c r="FA12" s="153"/>
      <c r="FB12" s="153"/>
      <c r="FC12" s="153"/>
      <c r="FD12" s="153"/>
      <c r="FE12" s="153"/>
      <c r="FF12" s="153"/>
      <c r="FG12" s="153"/>
      <c r="FH12" s="153"/>
      <c r="FI12" s="153"/>
      <c r="FJ12" s="153"/>
      <c r="FK12" s="153"/>
      <c r="FL12" s="153"/>
      <c r="FM12" s="153"/>
      <c r="FN12" s="153"/>
      <c r="FO12" s="153"/>
      <c r="FP12" s="153"/>
      <c r="FQ12" s="153"/>
      <c r="FR12" s="153"/>
      <c r="FS12" s="153"/>
      <c r="FT12" s="153"/>
      <c r="FU12" s="153"/>
      <c r="FV12" s="153"/>
      <c r="FW12" s="153"/>
    </row>
    <row r="13" spans="1:179" s="144" customFormat="1" ht="9.75" customHeight="1" thickBot="1" x14ac:dyDescent="0.2">
      <c r="A13" s="512" t="s">
        <v>139</v>
      </c>
      <c r="B13" s="154">
        <v>0.04</v>
      </c>
      <c r="C13" s="155">
        <v>-1.4999999999999999E-2</v>
      </c>
      <c r="D13" s="627"/>
      <c r="E13" s="295"/>
      <c r="F13" s="156">
        <v>0</v>
      </c>
      <c r="G13" s="157">
        <v>0</v>
      </c>
      <c r="H13" s="485">
        <f t="shared" si="56"/>
        <v>0.04</v>
      </c>
      <c r="I13" s="485">
        <f t="shared" si="57"/>
        <v>2.5000000000000001E-2</v>
      </c>
      <c r="J13" s="158">
        <f t="shared" si="58"/>
        <v>0.2113554959999997</v>
      </c>
      <c r="K13" s="485">
        <f t="shared" si="59"/>
        <v>1.0000000000000002E-2</v>
      </c>
      <c r="L13" s="485">
        <f t="shared" si="60"/>
        <v>0</v>
      </c>
      <c r="M13" s="485">
        <f t="shared" si="61"/>
        <v>0</v>
      </c>
      <c r="N13" s="485">
        <f t="shared" si="62"/>
        <v>0</v>
      </c>
      <c r="O13" s="158">
        <f t="shared" si="63"/>
        <v>3.0300999999999911E-2</v>
      </c>
      <c r="P13" s="485">
        <f t="shared" si="64"/>
        <v>0</v>
      </c>
      <c r="Q13" s="485">
        <f t="shared" si="65"/>
        <v>0</v>
      </c>
      <c r="R13" s="485">
        <f t="shared" si="66"/>
        <v>0</v>
      </c>
      <c r="S13" s="485">
        <f t="shared" si="67"/>
        <v>0</v>
      </c>
      <c r="T13" s="155">
        <f t="shared" si="68"/>
        <v>0</v>
      </c>
      <c r="U13" s="296"/>
      <c r="V13" s="160">
        <f>SUM(IF((12*(IF(ISBLANK(E13),C13,E13)))+(IF(ISBLANK(D13),B13,D13)) &lt; 0, 0, (12*(IF(ISBLANK(E13),C13,E13)))+(IF(ISBLANK(D13),B13,D13))))*12</f>
        <v>0</v>
      </c>
      <c r="W13" s="158">
        <f>SUM(IF((15*(IF(ISBLANK(E13),C13,E13)))+(IF(ISBLANK(D13),B13,D13)) &lt; 0, 0, (15*(IF(ISBLANK(E13),C13,E13)))+(IF(ISBLANK(D13),B13,D13))))*12</f>
        <v>0</v>
      </c>
      <c r="X13" s="159">
        <f>SUM(IF((18*(IF(ISBLANK(E13),C13,E13)))+(IF(ISBLANK(D13),B13,D13)) &lt; 0, 0, (18*(IF(ISBLANK(E13),C13,E13)))+(IF(ISBLANK(D13),B13,D13))))*12</f>
        <v>0</v>
      </c>
      <c r="Y13" s="161"/>
      <c r="Z13" s="572">
        <v>0</v>
      </c>
      <c r="AA13" s="610"/>
      <c r="AB13" s="590">
        <f t="shared" si="0"/>
        <v>0</v>
      </c>
      <c r="AC13" s="485">
        <f t="shared" si="1"/>
        <v>0</v>
      </c>
      <c r="AD13" s="485">
        <f t="shared" si="2"/>
        <v>0</v>
      </c>
      <c r="AE13" s="485">
        <f t="shared" si="36"/>
        <v>0</v>
      </c>
      <c r="AF13" s="162"/>
      <c r="AG13" s="590">
        <f t="shared" si="3"/>
        <v>0</v>
      </c>
      <c r="AH13" s="485">
        <f t="shared" si="4"/>
        <v>0</v>
      </c>
      <c r="AI13" s="485">
        <f t="shared" si="5"/>
        <v>0</v>
      </c>
      <c r="AJ13" s="485">
        <f t="shared" si="37"/>
        <v>0</v>
      </c>
      <c r="AK13" s="162"/>
      <c r="AL13" s="590">
        <f t="shared" si="6"/>
        <v>0.04</v>
      </c>
      <c r="AM13" s="485">
        <f t="shared" si="7"/>
        <v>0.04</v>
      </c>
      <c r="AN13" s="485">
        <f t="shared" si="8"/>
        <v>0.04</v>
      </c>
      <c r="AO13" s="485">
        <f t="shared" si="38"/>
        <v>0.12</v>
      </c>
      <c r="AP13" s="162"/>
      <c r="AQ13" s="590">
        <f t="shared" si="9"/>
        <v>2.5000000000000001E-2</v>
      </c>
      <c r="AR13" s="485">
        <f t="shared" si="10"/>
        <v>2.5000000000000001E-2</v>
      </c>
      <c r="AS13" s="485">
        <f t="shared" si="11"/>
        <v>2.5000000000000001E-2</v>
      </c>
      <c r="AT13" s="485">
        <f t="shared" si="39"/>
        <v>7.5000000000000011E-2</v>
      </c>
      <c r="AU13" s="162"/>
      <c r="AV13" s="610"/>
      <c r="AW13" s="590">
        <f t="shared" si="12"/>
        <v>1.0000000000000002E-2</v>
      </c>
      <c r="AX13" s="485">
        <f t="shared" si="13"/>
        <v>1.0000000000000002E-2</v>
      </c>
      <c r="AY13" s="485">
        <f t="shared" si="14"/>
        <v>1.0000000000000002E-2</v>
      </c>
      <c r="AZ13" s="485">
        <f t="shared" si="40"/>
        <v>3.0000000000000006E-2</v>
      </c>
      <c r="BA13" s="162"/>
      <c r="BB13" s="590">
        <f t="shared" si="15"/>
        <v>0</v>
      </c>
      <c r="BC13" s="485">
        <f t="shared" si="16"/>
        <v>0</v>
      </c>
      <c r="BD13" s="485">
        <f t="shared" si="17"/>
        <v>0</v>
      </c>
      <c r="BE13" s="485">
        <f t="shared" si="41"/>
        <v>0</v>
      </c>
      <c r="BF13" s="162"/>
      <c r="BG13" s="590">
        <f t="shared" si="18"/>
        <v>0</v>
      </c>
      <c r="BH13" s="485">
        <f t="shared" si="19"/>
        <v>0</v>
      </c>
      <c r="BI13" s="485">
        <f t="shared" si="20"/>
        <v>0</v>
      </c>
      <c r="BJ13" s="485">
        <f t="shared" si="42"/>
        <v>0</v>
      </c>
      <c r="BK13" s="162"/>
      <c r="BL13" s="590">
        <f t="shared" si="21"/>
        <v>0</v>
      </c>
      <c r="BM13" s="485">
        <f t="shared" si="22"/>
        <v>0</v>
      </c>
      <c r="BN13" s="485">
        <f t="shared" si="23"/>
        <v>0</v>
      </c>
      <c r="BO13" s="485">
        <f t="shared" si="51"/>
        <v>0</v>
      </c>
      <c r="BP13" s="162"/>
      <c r="BQ13" s="296"/>
      <c r="BR13" s="590">
        <f t="shared" si="24"/>
        <v>0</v>
      </c>
      <c r="BS13" s="485">
        <f t="shared" si="25"/>
        <v>0</v>
      </c>
      <c r="BT13" s="485">
        <f t="shared" si="26"/>
        <v>0</v>
      </c>
      <c r="BU13" s="485">
        <f t="shared" si="52"/>
        <v>0</v>
      </c>
      <c r="BV13" s="162"/>
      <c r="BW13" s="590">
        <f t="shared" si="27"/>
        <v>0</v>
      </c>
      <c r="BX13" s="485">
        <f t="shared" si="28"/>
        <v>0</v>
      </c>
      <c r="BY13" s="485">
        <f t="shared" si="29"/>
        <v>0</v>
      </c>
      <c r="BZ13" s="485">
        <f t="shared" si="53"/>
        <v>0</v>
      </c>
      <c r="CA13" s="162"/>
      <c r="CB13" s="590">
        <f t="shared" si="30"/>
        <v>0</v>
      </c>
      <c r="CC13" s="485">
        <f t="shared" si="31"/>
        <v>0</v>
      </c>
      <c r="CD13" s="485">
        <f t="shared" si="32"/>
        <v>0</v>
      </c>
      <c r="CE13" s="485">
        <f t="shared" si="54"/>
        <v>0</v>
      </c>
      <c r="CF13" s="162"/>
      <c r="CG13" s="590">
        <f t="shared" si="33"/>
        <v>0</v>
      </c>
      <c r="CH13" s="485">
        <f t="shared" si="34"/>
        <v>0</v>
      </c>
      <c r="CI13" s="485">
        <f t="shared" si="35"/>
        <v>0</v>
      </c>
      <c r="CJ13" s="485">
        <f t="shared" si="55"/>
        <v>0</v>
      </c>
      <c r="CK13" s="162"/>
      <c r="CL13" s="153"/>
      <c r="CM13" s="153"/>
      <c r="CN13" s="153"/>
      <c r="CO13" s="153"/>
      <c r="CP13" s="153"/>
      <c r="CQ13" s="153"/>
      <c r="CR13" s="153"/>
      <c r="CS13" s="153"/>
      <c r="CT13" s="153"/>
      <c r="CU13" s="153"/>
      <c r="CV13" s="153"/>
      <c r="CW13" s="153"/>
      <c r="CX13" s="153"/>
      <c r="CY13" s="153"/>
      <c r="CZ13" s="153"/>
      <c r="DA13" s="153"/>
      <c r="DB13" s="153"/>
      <c r="DC13" s="153"/>
      <c r="DD13" s="153"/>
      <c r="DE13" s="153"/>
      <c r="DF13" s="153"/>
      <c r="DG13" s="153"/>
      <c r="DH13" s="153"/>
      <c r="DI13" s="153"/>
      <c r="DJ13" s="153"/>
      <c r="DK13" s="153"/>
      <c r="DL13" s="153"/>
      <c r="DM13" s="153"/>
      <c r="DN13" s="153"/>
      <c r="DO13" s="153"/>
      <c r="DP13" s="153"/>
      <c r="DQ13" s="153"/>
      <c r="DR13" s="153"/>
      <c r="DS13" s="153"/>
      <c r="DT13" s="153"/>
      <c r="DU13" s="153"/>
      <c r="DV13" s="153"/>
      <c r="DW13" s="153"/>
      <c r="DX13" s="153"/>
      <c r="DY13" s="153"/>
      <c r="DZ13" s="153"/>
      <c r="EA13" s="153"/>
      <c r="EB13" s="153"/>
      <c r="EC13" s="153"/>
      <c r="ED13" s="153"/>
      <c r="EE13" s="153"/>
      <c r="EF13" s="153"/>
      <c r="EG13" s="153"/>
      <c r="EH13" s="153"/>
      <c r="EI13" s="153"/>
      <c r="EJ13" s="153"/>
      <c r="EK13" s="153"/>
      <c r="EL13" s="153"/>
      <c r="EM13" s="153"/>
      <c r="EN13" s="153"/>
      <c r="EO13" s="153"/>
      <c r="EP13" s="153"/>
      <c r="EQ13" s="153"/>
      <c r="ER13" s="153"/>
      <c r="ES13" s="153"/>
      <c r="ET13" s="153"/>
      <c r="EU13" s="153"/>
      <c r="EV13" s="153"/>
      <c r="EW13" s="153"/>
      <c r="EX13" s="153"/>
      <c r="EY13" s="153"/>
      <c r="EZ13" s="153"/>
      <c r="FA13" s="153"/>
      <c r="FB13" s="153"/>
      <c r="FC13" s="153"/>
      <c r="FD13" s="153"/>
      <c r="FE13" s="153"/>
      <c r="FF13" s="153"/>
      <c r="FG13" s="153"/>
      <c r="FH13" s="153"/>
      <c r="FI13" s="153"/>
      <c r="FJ13" s="153"/>
      <c r="FK13" s="153"/>
      <c r="FL13" s="153"/>
      <c r="FM13" s="153"/>
      <c r="FN13" s="153"/>
      <c r="FO13" s="153"/>
      <c r="FP13" s="153"/>
      <c r="FQ13" s="153"/>
      <c r="FR13" s="153"/>
      <c r="FS13" s="153"/>
      <c r="FT13" s="153"/>
      <c r="FU13" s="153"/>
      <c r="FV13" s="153"/>
      <c r="FW13" s="153"/>
    </row>
    <row r="14" spans="1:179" s="144" customFormat="1" ht="9.75" customHeight="1" x14ac:dyDescent="0.15">
      <c r="A14" s="471" t="s">
        <v>140</v>
      </c>
      <c r="B14" s="163">
        <v>5000000</v>
      </c>
      <c r="C14" s="164">
        <v>300000000</v>
      </c>
      <c r="D14" s="165"/>
      <c r="E14" s="298"/>
      <c r="F14" s="498">
        <f>SUM(IF(((1-(Z18/(IF(ISBLANK(D14),B14,(IF(D14=0,9.99999999999999E+29,D14))))))*SUM(F9:F13))&lt;0,0,((1-(Z18/(IF(ISBLANK(D14),B14,(IF(D14=0,9.99999999999999E+29,D14))))))*SUM(F9:F13))))</f>
        <v>9.9970000000000007E-3</v>
      </c>
      <c r="G14" s="499">
        <f>SUM(IF(((1-(F18/(IF(ISBLANK(D14),B14,(IF(D14=0,9.99999999999999E+29,D14))))))*SUM(G9:G13))&lt;0,0,((1-(F18/(IF(ISBLANK(D14),B14,(IF(D14=0,9.99999999999999E+29,D14))))))*SUM(G9:G13))))</f>
        <v>0.1199485148622277</v>
      </c>
      <c r="H14" s="499">
        <f>SUM(IF(((1-(G18/(IF(ISBLANK(D14),B14,(IF(D14=0,9.99999999999999E+29,D14))))))*SUM(H9:H13))&lt;0,0,((1-(G18/(IF(ISBLANK(D14),B14,(IF(D14=0,9.99999999999999E+29,D14))))))*SUM(H9:H13))))</f>
        <v>0.26972357323574297</v>
      </c>
      <c r="I14" s="499">
        <f>SUM(IF(((1-(H18/(IF(ISBLANK(D14),B14,(IF(D14=0,9.99999999999999E+29,D14))))))*SUM(I9:I13))&lt;0,0,((1-(H18/(IF(ISBLANK(D14),B14,(IF(D14=0,9.99999999999999E+29,D14))))))*SUM(I9:I13))))</f>
        <v>0.22672581132870917</v>
      </c>
      <c r="J14" s="500">
        <f>SUM(((1+F14)*(1+F14)*(1+F14)*(1+G14)*(1+G14)*(1+G14)*(1+H14)*(1+H14)*(1+H14)*(1+I14)*(1+I14)*(1+I14))-1)</f>
        <v>4.4692085450117833</v>
      </c>
      <c r="K14" s="499">
        <f>SUM(IF(((1-(I18/(IF(ISBLANK(E14),C14,(IF(E14=0,9.99999999999999E+29,E14))))))*SUM(K9:K13))&lt;0,0,((1-(I18/(IF(ISBLANK(E14),C14,(IF(E14=0,9.99999999999999E+29,E14))))))*SUM(K9:K13))))</f>
        <v>0.18596589551644876</v>
      </c>
      <c r="L14" s="499">
        <f>SUM(IF(((1-(K18/(IF(ISBLANK(E14),C14,(IF(E14=0,9.99999999999999E+29,E14))))))*SUM(L9:L13))&lt;0,0,((1-(K18/(IF(ISBLANK(E14),C14,(IF(E14=0,9.99999999999999E+29,E14))))))*SUM(L9:L13))))</f>
        <v>0.14895777164750762</v>
      </c>
      <c r="M14" s="499">
        <f>SUM(IF(((1-(L18/(IF(ISBLANK(E14),C14,(IF(E14=0,9.99999999999999E+29,E14))))))*SUM(M9:M13))&lt;0,0,((1-(L18/(IF(ISBLANK(E14),C14,(IF(E14=0,9.99999999999999E+29,E14))))))*SUM(M9:M13))))</f>
        <v>0.13394504297714077</v>
      </c>
      <c r="N14" s="499">
        <f>SUM(IF(((1-(M18/(IF(ISBLANK(E14),C14,(IF(E14=0,9.99999999999999E+29,E14))))))*SUM(N9:N13))&lt;0,0,((1-(M18/(IF(ISBLANK(E14),C14,(IF(E14=0,9.99999999999999E+29,E14))))))*SUM(N9:N13))))</f>
        <v>0.12492739577813684</v>
      </c>
      <c r="O14" s="501">
        <f t="shared" si="63"/>
        <v>4.2514387333466326</v>
      </c>
      <c r="P14" s="499">
        <f>SUM(IF(((1-(N18/(IF(ISBLANK(E14),C14,(IF(E14=0,9.99999999999999E+29,E14))))))*SUM(P9:P13))&lt;0,0,((1-(N18/(IF(ISBLANK(E14),C14,(IF(E14=0,9.99999999999999E+29,E14))))))*SUM(P9:P13))))</f>
        <v>0.11589864800125836</v>
      </c>
      <c r="Q14" s="499">
        <f>SUM(IF(((1-(P18/(IF(ISBLANK(E14),C14,(IF(E14=0,9.99999999999999E+29,E14))))))*SUM(Q9:Q13))&lt;0,0,((1-(P18/(IF(ISBLANK(E14),C14,(IF(E14=0,9.99999999999999E+29,E14))))))*SUM(Q9:Q13))))</f>
        <v>0.10685332459674614</v>
      </c>
      <c r="R14" s="499">
        <f>SUM(IF(((1-(Q18/(IF(ISBLANK(E14),C14,(IF(E14=0,9.99999999999999E+29,E14))))))*SUM(R9:R13))&lt;0,0,((1-(Q18/(IF(ISBLANK(E14),C14,(IF(E14=0,9.99999999999999E+29,E14))))))*SUM(R9:R13))))</f>
        <v>9.7780771685057874E-2</v>
      </c>
      <c r="S14" s="499">
        <f>SUM(IF(((1-(R18/(IF(ISBLANK(E14),C14,(IF(E14=0,9.99999999999999E+29,E14))))))*SUM(S9:S13))&lt;0,0,((1-(R18/(IF(ISBLANK(E14),C14,(IF(E14=0,9.99999999999999E+29,E14))))))*SUM(S9:S13))))</f>
        <v>8.8661701675412125E-2</v>
      </c>
      <c r="T14" s="503">
        <f t="shared" si="68"/>
        <v>2.2164008603190868</v>
      </c>
      <c r="U14" s="537"/>
      <c r="V14" s="640">
        <f>SUM(IF(((1-(T18/(IF(ISBLANK(E14),C14,(IF(E14=0,9.99999999999999E+29,E14))))))*SUM(V9:V13))&lt;0,0,((1-(T18/(IF(ISBLANK(E14),C14,(IF(E14=0,9.99999999999999E+29,E14))))))*SUM(V9:V13))))</f>
        <v>0.73899944446209509</v>
      </c>
      <c r="W14" s="500">
        <f>SUM(IF(((1-(V18/(IF(ISBLANK(E14),C14,(IF(E14=0,9.99999999999999E+29,E14))))))*SUM(W9:W13))&lt;0,0,((1-(V18/(IF(ISBLANK(E14),C14,(IF(E14=0,9.99999999999999E+29,E14))))))*SUM(W9:W13))))</f>
        <v>0.58821758864113283</v>
      </c>
      <c r="X14" s="641">
        <f>SUM(IF(((1-(W18/(IF(ISBLANK(E14),C14,(IF(E14=0,9.99999999999999E+29,E14))))))*SUM(X9:X13))&lt;0,0,((1-(W18/(IF(ISBLANK(E14),C14,(IF(E14=0,9.99999999999999E+29,E14))))))*SUM(X9:X13))))</f>
        <v>0.43470336866094678</v>
      </c>
      <c r="Y14" s="537"/>
      <c r="Z14" s="573">
        <v>0</v>
      </c>
      <c r="AA14" s="611"/>
      <c r="AB14" s="591">
        <f t="shared" si="0"/>
        <v>9.9970000000000007E-3</v>
      </c>
      <c r="AC14" s="499">
        <f t="shared" si="1"/>
        <v>9.9970000000000007E-3</v>
      </c>
      <c r="AD14" s="499">
        <f t="shared" si="2"/>
        <v>9.9970000000000007E-3</v>
      </c>
      <c r="AE14" s="499">
        <f t="shared" si="36"/>
        <v>2.9991000000000004E-2</v>
      </c>
      <c r="AF14" s="597"/>
      <c r="AG14" s="591">
        <f t="shared" si="3"/>
        <v>0.1199485148622277</v>
      </c>
      <c r="AH14" s="499">
        <f t="shared" si="4"/>
        <v>0.1199485148622277</v>
      </c>
      <c r="AI14" s="499">
        <f t="shared" si="5"/>
        <v>0.1199485148622277</v>
      </c>
      <c r="AJ14" s="499">
        <f t="shared" si="37"/>
        <v>0.35984554458668311</v>
      </c>
      <c r="AK14" s="597"/>
      <c r="AL14" s="591">
        <f t="shared" si="6"/>
        <v>0.26972357323574297</v>
      </c>
      <c r="AM14" s="499">
        <f t="shared" si="7"/>
        <v>0.26972357323574297</v>
      </c>
      <c r="AN14" s="499">
        <f t="shared" si="8"/>
        <v>0.26972357323574297</v>
      </c>
      <c r="AO14" s="499">
        <f t="shared" si="38"/>
        <v>0.80917071970722887</v>
      </c>
      <c r="AP14" s="597"/>
      <c r="AQ14" s="591">
        <f t="shared" si="9"/>
        <v>0.22672581132870917</v>
      </c>
      <c r="AR14" s="499">
        <f t="shared" si="10"/>
        <v>0.22672581132870917</v>
      </c>
      <c r="AS14" s="499">
        <f t="shared" si="11"/>
        <v>0.22672581132870917</v>
      </c>
      <c r="AT14" s="499">
        <f t="shared" si="39"/>
        <v>0.68017743398612751</v>
      </c>
      <c r="AU14" s="597"/>
      <c r="AV14" s="611"/>
      <c r="AW14" s="591">
        <f t="shared" si="12"/>
        <v>0.18596589551644876</v>
      </c>
      <c r="AX14" s="499">
        <f t="shared" si="13"/>
        <v>0.18596589551644876</v>
      </c>
      <c r="AY14" s="499">
        <f t="shared" si="14"/>
        <v>0.18596589551644876</v>
      </c>
      <c r="AZ14" s="499">
        <f t="shared" si="40"/>
        <v>0.55789768654934635</v>
      </c>
      <c r="BA14" s="597"/>
      <c r="BB14" s="591">
        <f t="shared" si="15"/>
        <v>0.14895777164750762</v>
      </c>
      <c r="BC14" s="499">
        <f t="shared" si="16"/>
        <v>0.14895777164750762</v>
      </c>
      <c r="BD14" s="499">
        <f t="shared" si="17"/>
        <v>0.14895777164750762</v>
      </c>
      <c r="BE14" s="499">
        <f t="shared" si="41"/>
        <v>0.44687331494252286</v>
      </c>
      <c r="BF14" s="597"/>
      <c r="BG14" s="591">
        <f t="shared" si="18"/>
        <v>0.13394504297714077</v>
      </c>
      <c r="BH14" s="499">
        <f t="shared" si="19"/>
        <v>0.13394504297714077</v>
      </c>
      <c r="BI14" s="499">
        <f t="shared" si="20"/>
        <v>0.13394504297714077</v>
      </c>
      <c r="BJ14" s="499">
        <f t="shared" si="42"/>
        <v>0.40183512893142231</v>
      </c>
      <c r="BK14" s="597"/>
      <c r="BL14" s="591">
        <f t="shared" si="21"/>
        <v>0.12492739577813684</v>
      </c>
      <c r="BM14" s="499">
        <f t="shared" si="22"/>
        <v>0.12492739577813684</v>
      </c>
      <c r="BN14" s="499">
        <f t="shared" si="23"/>
        <v>0.12492739577813684</v>
      </c>
      <c r="BO14" s="499">
        <f t="shared" si="51"/>
        <v>0.37478218733441054</v>
      </c>
      <c r="BP14" s="597"/>
      <c r="BQ14" s="537"/>
      <c r="BR14" s="591">
        <f t="shared" si="24"/>
        <v>0.11589864800125836</v>
      </c>
      <c r="BS14" s="499">
        <f t="shared" si="25"/>
        <v>0.11589864800125836</v>
      </c>
      <c r="BT14" s="499">
        <f t="shared" si="26"/>
        <v>0.11589864800125836</v>
      </c>
      <c r="BU14" s="499">
        <f t="shared" si="52"/>
        <v>0.34769594400377507</v>
      </c>
      <c r="BV14" s="597"/>
      <c r="BW14" s="591">
        <f t="shared" si="27"/>
        <v>0.10685332459674614</v>
      </c>
      <c r="BX14" s="499">
        <f t="shared" si="28"/>
        <v>0.10685332459674614</v>
      </c>
      <c r="BY14" s="499">
        <f t="shared" si="29"/>
        <v>0.10685332459674614</v>
      </c>
      <c r="BZ14" s="499">
        <f t="shared" si="53"/>
        <v>0.32055997379023843</v>
      </c>
      <c r="CA14" s="597"/>
      <c r="CB14" s="591">
        <f t="shared" si="30"/>
        <v>9.7780771685057874E-2</v>
      </c>
      <c r="CC14" s="499">
        <f t="shared" si="31"/>
        <v>9.7780771685057874E-2</v>
      </c>
      <c r="CD14" s="499">
        <f t="shared" si="32"/>
        <v>9.7780771685057874E-2</v>
      </c>
      <c r="CE14" s="499">
        <f t="shared" si="54"/>
        <v>0.29334231505517361</v>
      </c>
      <c r="CF14" s="597"/>
      <c r="CG14" s="591">
        <f t="shared" si="33"/>
        <v>8.8661701675412125E-2</v>
      </c>
      <c r="CH14" s="499">
        <f t="shared" si="34"/>
        <v>8.8661701675412125E-2</v>
      </c>
      <c r="CI14" s="499">
        <f t="shared" si="35"/>
        <v>8.8661701675412125E-2</v>
      </c>
      <c r="CJ14" s="499">
        <f t="shared" si="55"/>
        <v>0.2659851050262364</v>
      </c>
      <c r="CK14" s="166"/>
      <c r="CL14" s="153"/>
      <c r="CM14" s="153"/>
      <c r="CN14" s="153"/>
      <c r="CO14" s="153"/>
      <c r="CP14" s="153"/>
      <c r="CQ14" s="153"/>
      <c r="CR14" s="153"/>
      <c r="CS14" s="153"/>
      <c r="CT14" s="153"/>
      <c r="CU14" s="153"/>
      <c r="CV14" s="153"/>
      <c r="CW14" s="153"/>
      <c r="CX14" s="153"/>
      <c r="CY14" s="153"/>
      <c r="CZ14" s="153"/>
      <c r="DA14" s="153"/>
      <c r="DB14" s="153"/>
      <c r="DC14" s="153"/>
      <c r="DD14" s="153"/>
      <c r="DE14" s="153"/>
      <c r="DF14" s="153"/>
      <c r="DG14" s="153"/>
      <c r="DH14" s="153"/>
      <c r="DI14" s="153"/>
      <c r="DJ14" s="153"/>
      <c r="DK14" s="153"/>
      <c r="DL14" s="153"/>
      <c r="DM14" s="153"/>
      <c r="DN14" s="153"/>
      <c r="DO14" s="153"/>
      <c r="DP14" s="153"/>
      <c r="DQ14" s="153"/>
      <c r="DR14" s="153"/>
      <c r="DS14" s="153"/>
      <c r="DT14" s="153"/>
      <c r="DU14" s="153"/>
      <c r="DV14" s="153"/>
      <c r="DW14" s="153"/>
      <c r="DX14" s="153"/>
      <c r="DY14" s="153"/>
      <c r="DZ14" s="153"/>
      <c r="EA14" s="153"/>
      <c r="EB14" s="153"/>
      <c r="EC14" s="153"/>
      <c r="ED14" s="153"/>
      <c r="EE14" s="153"/>
      <c r="EF14" s="153"/>
      <c r="EG14" s="153"/>
      <c r="EH14" s="153"/>
      <c r="EI14" s="153"/>
      <c r="EJ14" s="153"/>
      <c r="EK14" s="153"/>
      <c r="EL14" s="153"/>
      <c r="EM14" s="153"/>
      <c r="EN14" s="153"/>
      <c r="EO14" s="153"/>
      <c r="EP14" s="153"/>
      <c r="EQ14" s="153"/>
      <c r="ER14" s="153"/>
      <c r="ES14" s="153"/>
      <c r="ET14" s="153"/>
      <c r="EU14" s="153"/>
      <c r="EV14" s="153"/>
      <c r="EW14" s="153"/>
      <c r="EX14" s="153"/>
      <c r="EY14" s="153"/>
      <c r="EZ14" s="153"/>
      <c r="FA14" s="153"/>
      <c r="FB14" s="153"/>
      <c r="FC14" s="153"/>
      <c r="FD14" s="153"/>
      <c r="FE14" s="153"/>
      <c r="FF14" s="153"/>
      <c r="FG14" s="153"/>
      <c r="FH14" s="153"/>
      <c r="FI14" s="153"/>
      <c r="FJ14" s="153"/>
      <c r="FK14" s="153"/>
      <c r="FL14" s="153"/>
      <c r="FM14" s="153"/>
      <c r="FN14" s="153"/>
      <c r="FO14" s="153"/>
      <c r="FP14" s="153"/>
      <c r="FQ14" s="153"/>
      <c r="FR14" s="153"/>
      <c r="FS14" s="153"/>
      <c r="FT14" s="153"/>
      <c r="FU14" s="153"/>
      <c r="FV14" s="153"/>
      <c r="FW14" s="153"/>
    </row>
    <row r="15" spans="1:179" s="144" customFormat="1" ht="9.75" customHeight="1" x14ac:dyDescent="0.15">
      <c r="A15" s="472" t="s">
        <v>141</v>
      </c>
      <c r="B15" s="145">
        <v>0.2</v>
      </c>
      <c r="C15" s="126">
        <v>-1.7999999999999999E-2</v>
      </c>
      <c r="D15" s="626"/>
      <c r="E15" s="624"/>
      <c r="F15" s="622">
        <v>0.8</v>
      </c>
      <c r="G15" s="623">
        <v>0.5</v>
      </c>
      <c r="H15" s="502">
        <f>SUM(IF(     IF(ISBLANK(D15),B15,D15)   &gt;   0,   (     IF(ISBLANK(D15),B15,D15)   ),0))</f>
        <v>0.2</v>
      </c>
      <c r="I15" s="502">
        <f>SUM(IF(     IF(ISBLANK(D15),B15,D15)     +   (1* (IF(ISBLANK(E15),C15,E15))) &gt;   0,   (     IF(ISBLANK(D15),B15,D15)    +  (1* (IF(ISBLANK(E15),C15,E15)) )  ),0))</f>
        <v>0.18200000000000002</v>
      </c>
      <c r="J15" s="500">
        <f>SUM(((1+F15)*(1+F15)*(1+F15)*(1+G15)*(1+G15)*(1+G15)*(1+H15)*(1+H15)*(1+H15)*(1+I15)*(1+I15)*(1+I15))-1)</f>
        <v>55.167806032543233</v>
      </c>
      <c r="K15" s="502">
        <f>SUM(IF(     IF(ISBLANK(D15),B15,D15)    +   (2* (IF(ISBLANK(E15),C15,E15))) &gt;   0,   (     IF(ISBLANK(D15),B15,D15)    +  (2* (IF(ISBLANK(E15),C15,E15)) )  ),0))</f>
        <v>0.16400000000000001</v>
      </c>
      <c r="L15" s="502">
        <f>SUM(IF(     IF(ISBLANK(D15),B15,D15)    +   (3* (IF(ISBLANK(E15),C15,E15))) &gt;   0,   (     IF(ISBLANK(D15),B15,D15)    +  (3* (IF(ISBLANK(E15),C15,E15)) )  ),0))</f>
        <v>0.14600000000000002</v>
      </c>
      <c r="M15" s="502">
        <f>SUM(IF(     IF(ISBLANK(D15),B15,D15)     +   (4* (IF(ISBLANK(E15),C15,E15))) &gt;   0,   (     IF(ISBLANK(D15),B15,D15)   +  (4* (IF(ISBLANK(E15),C15,E15)) )  ),0))</f>
        <v>0.128</v>
      </c>
      <c r="N15" s="502">
        <f>SUM(IF(     IF(ISBLANK(D15),B15,D15)     +  (5* (IF(ISBLANK(E15),C15,E15))) &gt;   0,   (     IF(ISBLANK(D15),B15,D15)   +  (5* (IF(ISBLANK(E15),C15,E15)) )  ),0))</f>
        <v>0.11000000000000001</v>
      </c>
      <c r="O15" s="500">
        <f t="shared" si="63"/>
        <v>3.6591750660109783</v>
      </c>
      <c r="P15" s="502">
        <f>SUM(IF(     IF(ISBLANK(D15),B15,D15)     +   (6* (IF(ISBLANK(E15),C15,E15))) &gt;   0,   (     IF(ISBLANK(D15),B15,D15)    +  (6* (IF(ISBLANK(E15),C15,E15)) )  ),0))</f>
        <v>9.2000000000000026E-2</v>
      </c>
      <c r="Q15" s="502">
        <f>SUM(IF(     IF(ISBLANK(D15),B15,D15)     +   (7* (IF(ISBLANK(E15),C15,E15))) &gt;   0,   (     IF(ISBLANK(D15),B15,D15)    +  (7* (IF(ISBLANK(E15),C15,E15)) )  ),0))</f>
        <v>7.400000000000001E-2</v>
      </c>
      <c r="R15" s="502">
        <f>SUM(IF(     IF(ISBLANK(D15),B15,D15)     +   (8* (IF(ISBLANK(E15),C15,E15))) &gt;   0,   (     IF(ISBLANK(D15),B15,D15)    +  (8* (IF(ISBLANK(E15),C15,E15)) )  ),0))</f>
        <v>5.6000000000000022E-2</v>
      </c>
      <c r="S15" s="502">
        <f>SUM(IF(     IF(ISBLANK(D15),B15,D15)     +   (9* (IF(ISBLANK(E15),C15,E15))) &gt;   0,   (     IF(ISBLANK(D15),B15,D15)   +  (9* (IF(ISBLANK(E15),C15,E15)) )  ),0))</f>
        <v>3.8000000000000034E-2</v>
      </c>
      <c r="T15" s="503">
        <f t="shared" si="68"/>
        <v>1.1245383470160082</v>
      </c>
      <c r="U15" s="538"/>
      <c r="V15" s="642">
        <v>0.2</v>
      </c>
      <c r="W15" s="506">
        <v>0.2</v>
      </c>
      <c r="X15" s="643">
        <v>0.2</v>
      </c>
      <c r="Y15" s="538"/>
      <c r="Z15" s="574">
        <v>0.7</v>
      </c>
      <c r="AA15" s="612"/>
      <c r="AB15" s="592">
        <f t="shared" si="0"/>
        <v>0.8</v>
      </c>
      <c r="AC15" s="502">
        <f t="shared" si="1"/>
        <v>0.8</v>
      </c>
      <c r="AD15" s="502">
        <f t="shared" si="2"/>
        <v>0.8</v>
      </c>
      <c r="AE15" s="502">
        <f t="shared" si="36"/>
        <v>2.4000000000000004</v>
      </c>
      <c r="AF15" s="598"/>
      <c r="AG15" s="592">
        <f t="shared" si="3"/>
        <v>0.5</v>
      </c>
      <c r="AH15" s="502">
        <f t="shared" si="4"/>
        <v>0.5</v>
      </c>
      <c r="AI15" s="502">
        <f t="shared" si="5"/>
        <v>0.5</v>
      </c>
      <c r="AJ15" s="502">
        <f t="shared" si="37"/>
        <v>1.5</v>
      </c>
      <c r="AK15" s="598"/>
      <c r="AL15" s="592">
        <f t="shared" si="6"/>
        <v>0.2</v>
      </c>
      <c r="AM15" s="502">
        <f t="shared" si="7"/>
        <v>0.2</v>
      </c>
      <c r="AN15" s="502">
        <f t="shared" si="8"/>
        <v>0.2</v>
      </c>
      <c r="AO15" s="502">
        <f t="shared" si="38"/>
        <v>0.60000000000000009</v>
      </c>
      <c r="AP15" s="598"/>
      <c r="AQ15" s="592">
        <f t="shared" si="9"/>
        <v>0.18200000000000002</v>
      </c>
      <c r="AR15" s="502">
        <f t="shared" si="10"/>
        <v>0.18200000000000002</v>
      </c>
      <c r="AS15" s="502">
        <f t="shared" si="11"/>
        <v>0.18200000000000002</v>
      </c>
      <c r="AT15" s="502">
        <f t="shared" si="39"/>
        <v>0.54600000000000004</v>
      </c>
      <c r="AU15" s="598"/>
      <c r="AV15" s="612"/>
      <c r="AW15" s="592">
        <f t="shared" si="12"/>
        <v>0.16400000000000001</v>
      </c>
      <c r="AX15" s="502">
        <f t="shared" si="13"/>
        <v>0.16400000000000001</v>
      </c>
      <c r="AY15" s="502">
        <f t="shared" si="14"/>
        <v>0.16400000000000001</v>
      </c>
      <c r="AZ15" s="502">
        <f t="shared" si="40"/>
        <v>0.49199999999999999</v>
      </c>
      <c r="BA15" s="598"/>
      <c r="BB15" s="592">
        <f t="shared" si="15"/>
        <v>0.14600000000000002</v>
      </c>
      <c r="BC15" s="502">
        <f t="shared" si="16"/>
        <v>0.14600000000000002</v>
      </c>
      <c r="BD15" s="502">
        <f t="shared" si="17"/>
        <v>0.14600000000000002</v>
      </c>
      <c r="BE15" s="502">
        <f t="shared" si="41"/>
        <v>0.43800000000000006</v>
      </c>
      <c r="BF15" s="598"/>
      <c r="BG15" s="592">
        <f t="shared" si="18"/>
        <v>0.128</v>
      </c>
      <c r="BH15" s="502">
        <f t="shared" si="19"/>
        <v>0.128</v>
      </c>
      <c r="BI15" s="502">
        <f t="shared" si="20"/>
        <v>0.128</v>
      </c>
      <c r="BJ15" s="502">
        <f t="shared" si="42"/>
        <v>0.38400000000000001</v>
      </c>
      <c r="BK15" s="598"/>
      <c r="BL15" s="592">
        <f t="shared" si="21"/>
        <v>0.11000000000000001</v>
      </c>
      <c r="BM15" s="502">
        <f t="shared" si="22"/>
        <v>0.11000000000000001</v>
      </c>
      <c r="BN15" s="502">
        <f t="shared" si="23"/>
        <v>0.11000000000000001</v>
      </c>
      <c r="BO15" s="502">
        <f t="shared" si="51"/>
        <v>0.33000000000000007</v>
      </c>
      <c r="BP15" s="598"/>
      <c r="BQ15" s="538"/>
      <c r="BR15" s="592">
        <f t="shared" si="24"/>
        <v>9.2000000000000026E-2</v>
      </c>
      <c r="BS15" s="502">
        <f t="shared" si="25"/>
        <v>9.2000000000000026E-2</v>
      </c>
      <c r="BT15" s="502">
        <f t="shared" si="26"/>
        <v>9.2000000000000026E-2</v>
      </c>
      <c r="BU15" s="502">
        <f t="shared" si="52"/>
        <v>0.27600000000000008</v>
      </c>
      <c r="BV15" s="598"/>
      <c r="BW15" s="592">
        <f t="shared" si="27"/>
        <v>7.400000000000001E-2</v>
      </c>
      <c r="BX15" s="502">
        <f t="shared" si="28"/>
        <v>7.400000000000001E-2</v>
      </c>
      <c r="BY15" s="502">
        <f t="shared" si="29"/>
        <v>7.400000000000001E-2</v>
      </c>
      <c r="BZ15" s="502">
        <f t="shared" si="53"/>
        <v>0.22200000000000003</v>
      </c>
      <c r="CA15" s="598"/>
      <c r="CB15" s="592">
        <f t="shared" si="30"/>
        <v>5.6000000000000022E-2</v>
      </c>
      <c r="CC15" s="502">
        <f t="shared" si="31"/>
        <v>5.6000000000000022E-2</v>
      </c>
      <c r="CD15" s="502">
        <f t="shared" si="32"/>
        <v>5.6000000000000022E-2</v>
      </c>
      <c r="CE15" s="502">
        <f t="shared" si="54"/>
        <v>0.16800000000000007</v>
      </c>
      <c r="CF15" s="598"/>
      <c r="CG15" s="592">
        <f t="shared" si="33"/>
        <v>3.8000000000000034E-2</v>
      </c>
      <c r="CH15" s="502">
        <f t="shared" si="34"/>
        <v>3.8000000000000034E-2</v>
      </c>
      <c r="CI15" s="502">
        <f t="shared" si="35"/>
        <v>3.8000000000000034E-2</v>
      </c>
      <c r="CJ15" s="502">
        <f t="shared" si="55"/>
        <v>0.1140000000000001</v>
      </c>
      <c r="CK15" s="168"/>
      <c r="CL15" s="153"/>
      <c r="CM15" s="153"/>
      <c r="CN15" s="153"/>
      <c r="CO15" s="153"/>
      <c r="CP15" s="153"/>
      <c r="CQ15" s="153"/>
      <c r="CR15" s="153"/>
      <c r="CS15" s="153"/>
      <c r="CT15" s="153"/>
      <c r="CU15" s="153"/>
      <c r="CV15" s="153"/>
      <c r="CW15" s="153"/>
      <c r="CX15" s="153"/>
      <c r="CY15" s="153"/>
      <c r="CZ15" s="153"/>
      <c r="DA15" s="153"/>
      <c r="DB15" s="153"/>
      <c r="DC15" s="153"/>
      <c r="DD15" s="153"/>
      <c r="DE15" s="153"/>
      <c r="DF15" s="153"/>
      <c r="DG15" s="153"/>
      <c r="DH15" s="153"/>
      <c r="DI15" s="153"/>
      <c r="DJ15" s="153"/>
      <c r="DK15" s="153"/>
      <c r="DL15" s="153"/>
      <c r="DM15" s="153"/>
      <c r="DN15" s="153"/>
      <c r="DO15" s="153"/>
      <c r="DP15" s="153"/>
      <c r="DQ15" s="153"/>
      <c r="DR15" s="153"/>
      <c r="DS15" s="153"/>
      <c r="DT15" s="153"/>
      <c r="DU15" s="153"/>
      <c r="DV15" s="153"/>
      <c r="DW15" s="153"/>
      <c r="DX15" s="153"/>
      <c r="DY15" s="153"/>
      <c r="DZ15" s="153"/>
      <c r="EA15" s="153"/>
      <c r="EB15" s="153"/>
      <c r="EC15" s="153"/>
      <c r="ED15" s="153"/>
      <c r="EE15" s="153"/>
      <c r="EF15" s="153"/>
      <c r="EG15" s="153"/>
      <c r="EH15" s="153"/>
      <c r="EI15" s="153"/>
      <c r="EJ15" s="153"/>
      <c r="EK15" s="153"/>
      <c r="EL15" s="153"/>
      <c r="EM15" s="153"/>
      <c r="EN15" s="153"/>
      <c r="EO15" s="153"/>
      <c r="EP15" s="153"/>
      <c r="EQ15" s="153"/>
      <c r="ER15" s="153"/>
      <c r="ES15" s="153"/>
      <c r="ET15" s="153"/>
      <c r="EU15" s="153"/>
      <c r="EV15" s="153"/>
      <c r="EW15" s="153"/>
      <c r="EX15" s="153"/>
      <c r="EY15" s="153"/>
      <c r="EZ15" s="153"/>
      <c r="FA15" s="153"/>
      <c r="FB15" s="153"/>
      <c r="FC15" s="153"/>
      <c r="FD15" s="153"/>
      <c r="FE15" s="153"/>
      <c r="FF15" s="153"/>
      <c r="FG15" s="153"/>
      <c r="FH15" s="153"/>
      <c r="FI15" s="153"/>
      <c r="FJ15" s="153"/>
      <c r="FK15" s="153"/>
      <c r="FL15" s="153"/>
      <c r="FM15" s="153"/>
      <c r="FN15" s="153"/>
      <c r="FO15" s="153"/>
      <c r="FP15" s="153"/>
      <c r="FQ15" s="153"/>
      <c r="FR15" s="153"/>
      <c r="FS15" s="153"/>
      <c r="FT15" s="153"/>
      <c r="FU15" s="153"/>
      <c r="FV15" s="153"/>
      <c r="FW15" s="153"/>
    </row>
    <row r="16" spans="1:179" s="175" customFormat="1" ht="9.75" customHeight="1" x14ac:dyDescent="0.15">
      <c r="A16" s="473" t="s">
        <v>142</v>
      </c>
      <c r="B16" s="169"/>
      <c r="C16" s="170"/>
      <c r="D16" s="628"/>
      <c r="E16" s="629"/>
      <c r="F16" s="504">
        <f>SUM((F18/Z18)-1)/3</f>
        <v>0.14338090529920011</v>
      </c>
      <c r="G16" s="504">
        <f>SUM((G18/F18)-1)/3</f>
        <v>0.4620828779306933</v>
      </c>
      <c r="H16" s="504">
        <f>SUM((H18/G18)-1)/3</f>
        <v>1.4862054284198958</v>
      </c>
      <c r="I16" s="504">
        <f>SUM((I18/H18)-1)/3</f>
        <v>0.32285670991443666</v>
      </c>
      <c r="J16" s="505" t="s">
        <v>38</v>
      </c>
      <c r="K16" s="502">
        <f>SUM((K18/I18)-1)/3</f>
        <v>0.18189303561675976</v>
      </c>
      <c r="L16" s="502">
        <f>SUM((L18/K18)-1)/3</f>
        <v>0.14903553968232833</v>
      </c>
      <c r="M16" s="502">
        <f>SUM((M18/L18)-1)/3</f>
        <v>0.13874297762148821</v>
      </c>
      <c r="N16" s="502">
        <f>SUM((N18/M18)-1)/3</f>
        <v>0.16808615753890246</v>
      </c>
      <c r="O16" s="506">
        <f>SUM(O18/J18)-1</f>
        <v>3.7651414334841133</v>
      </c>
      <c r="P16" s="502">
        <f>SUM((P18/N18)-1)/3</f>
        <v>0.18963805575077916</v>
      </c>
      <c r="Q16" s="502">
        <f>SUM((Q18/P18)-1)/3</f>
        <v>0.21063773527308616</v>
      </c>
      <c r="R16" s="502">
        <f>SUM((R18/Q18)-1)/3</f>
        <v>0.23305984694856532</v>
      </c>
      <c r="S16" s="502">
        <f>SUM((S18/R18)-1)/3</f>
        <v>0.25607222143730701</v>
      </c>
      <c r="T16" s="507">
        <f>SUM(T18/O18)-1</f>
        <v>6.6925617479475878</v>
      </c>
      <c r="U16" s="538"/>
      <c r="V16" s="642">
        <f>SUM(V18/T18)-1</f>
        <v>1.9217133924917169</v>
      </c>
      <c r="W16" s="506">
        <f>SUM(W18/V18)-1</f>
        <v>1.3782808533306281</v>
      </c>
      <c r="X16" s="643">
        <f>SUM(X18/W18)-1</f>
        <v>0.80535169593839151</v>
      </c>
      <c r="Y16" s="173"/>
      <c r="Z16" s="574">
        <v>0</v>
      </c>
      <c r="AA16" s="613"/>
      <c r="AB16" s="592">
        <f>SUM((AB18/Z18)-1)</f>
        <v>0.34299033333333329</v>
      </c>
      <c r="AC16" s="502">
        <f t="shared" ref="AC16:AD16" si="69">SUM((AC18/AB18)-1)</f>
        <v>5.3631764310788199E-2</v>
      </c>
      <c r="AD16" s="502">
        <f t="shared" si="69"/>
        <v>1.0689227481044838E-2</v>
      </c>
      <c r="AE16" s="502">
        <f t="shared" si="36"/>
        <v>0.40731132512516632</v>
      </c>
      <c r="AF16" s="599"/>
      <c r="AG16" s="592">
        <f>SUM((AG18/AD18)-1)</f>
        <v>0.69164258472438633</v>
      </c>
      <c r="AH16" s="502">
        <f>SUM((AH18/AG18)-1)</f>
        <v>0.2534712693374388</v>
      </c>
      <c r="AI16" s="502">
        <f>SUM((AI18/AH18)-1)</f>
        <v>0.12536317411491193</v>
      </c>
      <c r="AJ16" s="502">
        <f t="shared" si="37"/>
        <v>1.0704770281767371</v>
      </c>
      <c r="AK16" s="599"/>
      <c r="AL16" s="592">
        <f>SUM((AL18/AI18)-1)</f>
        <v>1.3872345239777131</v>
      </c>
      <c r="AM16" s="502">
        <f>SUM((AM18/AL18)-1)</f>
        <v>0.62162198853960549</v>
      </c>
      <c r="AN16" s="502">
        <f>SUM((AN18/AM18)-1)</f>
        <v>0.41006085233300604</v>
      </c>
      <c r="AO16" s="502">
        <f t="shared" si="38"/>
        <v>2.4189173648503246</v>
      </c>
      <c r="AP16" s="599"/>
      <c r="AQ16" s="592">
        <f>SUM((AQ18/AN18)-1)</f>
        <v>0.3088377577965522</v>
      </c>
      <c r="AR16" s="502">
        <f>SUM((AR18/AQ18)-1)</f>
        <v>0.24651701493249223</v>
      </c>
      <c r="AS16" s="502">
        <f>SUM((AS18/AR18)-1)</f>
        <v>0.20660984595194409</v>
      </c>
      <c r="AT16" s="502">
        <f t="shared" si="39"/>
        <v>0.76196461868098853</v>
      </c>
      <c r="AU16" s="599"/>
      <c r="AV16" s="613"/>
      <c r="AW16" s="592">
        <f>SUM((AW18/AS18)-1)</f>
        <v>0.17795546329943113</v>
      </c>
      <c r="AX16" s="502">
        <f>SUM((AX18/AW18)-1)</f>
        <v>0.15438989000776715</v>
      </c>
      <c r="AY16" s="502">
        <f>SUM((AY18/AX18)-1)</f>
        <v>0.13667930009280682</v>
      </c>
      <c r="AZ16" s="502">
        <f t="shared" si="40"/>
        <v>0.4690246534000051</v>
      </c>
      <c r="BA16" s="599"/>
      <c r="BB16" s="592">
        <f>SUM((BB18/AY18)-1)</f>
        <v>0.14859559452069449</v>
      </c>
      <c r="BC16" s="502">
        <f>SUM((BC18/BB18)-1)</f>
        <v>0.12975420336633281</v>
      </c>
      <c r="BD16" s="502">
        <f>SUM((BD18/BC18)-1)</f>
        <v>0.11519141622347773</v>
      </c>
      <c r="BE16" s="502">
        <f t="shared" si="41"/>
        <v>0.39354121411050502</v>
      </c>
      <c r="BF16" s="599"/>
      <c r="BG16" s="592">
        <f>SUM((BG18/BD18)-1)</f>
        <v>0.13792140407012043</v>
      </c>
      <c r="BH16" s="502">
        <f>SUM((BH18/BG18)-1)</f>
        <v>0.12192525094310946</v>
      </c>
      <c r="BI16" s="502">
        <f>SUM((BI18/BH18)-1)</f>
        <v>0.10932109933069345</v>
      </c>
      <c r="BJ16" s="502">
        <f t="shared" si="42"/>
        <v>0.36916775434392335</v>
      </c>
      <c r="BK16" s="599"/>
      <c r="BL16" s="592">
        <f>SUM((BL18/BI18)-1)</f>
        <v>0.16560185294242102</v>
      </c>
      <c r="BM16" s="502">
        <f>SUM((BM18/BL18)-1)</f>
        <v>0.14419491262698592</v>
      </c>
      <c r="BN16" s="502">
        <f>SUM((BN18/BM18)-1)</f>
        <v>0.12790422815371594</v>
      </c>
      <c r="BO16" s="502">
        <f>SUM(BL16:BN16)</f>
        <v>0.43770099372312288</v>
      </c>
      <c r="BP16" s="599"/>
      <c r="BQ16" s="173"/>
      <c r="BR16" s="592">
        <f>SUM((BR18/BN18)-1)</f>
        <v>0.18517731391873737</v>
      </c>
      <c r="BS16" s="502">
        <f>SUM((BS18/BR18)-1)</f>
        <v>0.15997842612679314</v>
      </c>
      <c r="BT16" s="502">
        <f>SUM((BT18/BS18)-1)</f>
        <v>0.14121098335210602</v>
      </c>
      <c r="BU16" s="502">
        <f>SUM(BR16:BT16)</f>
        <v>0.48636672339763654</v>
      </c>
      <c r="BV16" s="599"/>
      <c r="BW16" s="592">
        <f>SUM((BW18/BT18)-1)</f>
        <v>0.20386668952637588</v>
      </c>
      <c r="BX16" s="502">
        <f>SUM((BX18/BW18)-1)</f>
        <v>0.17490673168695281</v>
      </c>
      <c r="BY16" s="502">
        <f>SUM((BY18/BX18)-1)</f>
        <v>0.15375943846864781</v>
      </c>
      <c r="BZ16" s="502">
        <f>SUM(BW16:BY16)</f>
        <v>0.5325328596819765</v>
      </c>
      <c r="CA16" s="599"/>
      <c r="CB16" s="592">
        <f>SUM((CB18/BY18)-1)</f>
        <v>0.22358806419460819</v>
      </c>
      <c r="CC16" s="502">
        <f>SUM((CC18/CB18)-1)</f>
        <v>0.19036614762137805</v>
      </c>
      <c r="CD16" s="502">
        <f>SUM((CD18/CC18)-1)</f>
        <v>0.16660402563362453</v>
      </c>
      <c r="CE16" s="502">
        <f t="shared" si="54"/>
        <v>0.58055823744961077</v>
      </c>
      <c r="CF16" s="599"/>
      <c r="CG16" s="592">
        <f>SUM((CG18/CD18)-1)</f>
        <v>0.24352641332067382</v>
      </c>
      <c r="CH16" s="502">
        <f>SUM((CH18/CG18)-1)</f>
        <v>0.20575668765986088</v>
      </c>
      <c r="CI16" s="502">
        <f>SUM((CI18/CH18)-1)</f>
        <v>0.17929046033936591</v>
      </c>
      <c r="CJ16" s="502">
        <f t="shared" si="55"/>
        <v>0.62857356131990061</v>
      </c>
      <c r="CK16" s="152"/>
      <c r="CL16" s="174"/>
      <c r="CM16" s="174"/>
      <c r="CN16" s="174"/>
      <c r="CO16" s="174"/>
      <c r="CP16" s="174"/>
      <c r="CQ16" s="174"/>
      <c r="CR16" s="174"/>
      <c r="CS16" s="174"/>
      <c r="CT16" s="174"/>
      <c r="CU16" s="174"/>
      <c r="CV16" s="174"/>
      <c r="CW16" s="174"/>
      <c r="CX16" s="174"/>
      <c r="CY16" s="174"/>
      <c r="CZ16" s="174"/>
      <c r="DA16" s="174"/>
      <c r="DB16" s="174"/>
      <c r="DC16" s="174"/>
      <c r="DD16" s="174"/>
      <c r="DE16" s="174"/>
      <c r="DF16" s="174"/>
      <c r="DG16" s="174"/>
      <c r="DH16" s="174"/>
      <c r="DI16" s="174"/>
      <c r="DJ16" s="174"/>
      <c r="DK16" s="174"/>
      <c r="DL16" s="174"/>
      <c r="DM16" s="174"/>
      <c r="DN16" s="174"/>
      <c r="DO16" s="174"/>
      <c r="DP16" s="174"/>
      <c r="DQ16" s="174"/>
      <c r="DR16" s="174"/>
      <c r="DS16" s="174"/>
      <c r="DT16" s="174"/>
      <c r="DU16" s="174"/>
      <c r="DV16" s="174"/>
      <c r="DW16" s="174"/>
      <c r="DX16" s="174"/>
      <c r="DY16" s="174"/>
      <c r="DZ16" s="174"/>
      <c r="EA16" s="174"/>
      <c r="EB16" s="174"/>
      <c r="EC16" s="174"/>
      <c r="ED16" s="174"/>
      <c r="EE16" s="174"/>
      <c r="EF16" s="174"/>
      <c r="EG16" s="174"/>
      <c r="EH16" s="174"/>
      <c r="EI16" s="174"/>
      <c r="EJ16" s="174"/>
      <c r="EK16" s="174"/>
      <c r="EL16" s="174"/>
      <c r="EM16" s="174"/>
      <c r="EN16" s="174"/>
      <c r="EO16" s="174"/>
      <c r="EP16" s="174"/>
      <c r="EQ16" s="174"/>
      <c r="ER16" s="174"/>
      <c r="ES16" s="174"/>
      <c r="ET16" s="174"/>
      <c r="EU16" s="174"/>
      <c r="EV16" s="174"/>
      <c r="EW16" s="174"/>
      <c r="EX16" s="174"/>
      <c r="EY16" s="174"/>
      <c r="EZ16" s="174"/>
      <c r="FA16" s="174"/>
      <c r="FB16" s="174"/>
      <c r="FC16" s="174"/>
      <c r="FD16" s="174"/>
      <c r="FE16" s="174"/>
      <c r="FF16" s="174"/>
      <c r="FG16" s="174"/>
      <c r="FH16" s="174"/>
      <c r="FI16" s="174"/>
      <c r="FJ16" s="174"/>
      <c r="FK16" s="174"/>
      <c r="FL16" s="174"/>
      <c r="FM16" s="174"/>
      <c r="FN16" s="174"/>
      <c r="FO16" s="174"/>
      <c r="FP16" s="174"/>
      <c r="FQ16" s="174"/>
      <c r="FR16" s="174"/>
      <c r="FS16" s="174"/>
      <c r="FT16" s="174"/>
      <c r="FU16" s="174"/>
      <c r="FV16" s="174"/>
      <c r="FW16" s="174"/>
    </row>
    <row r="17" spans="1:179" s="175" customFormat="1" ht="9.75" customHeight="1" x14ac:dyDescent="0.15">
      <c r="A17" s="405" t="s">
        <v>143</v>
      </c>
      <c r="B17" s="176"/>
      <c r="C17" s="177"/>
      <c r="D17" s="634"/>
      <c r="E17" s="635"/>
      <c r="F17" s="423">
        <f>AE17</f>
        <v>645.21407384639997</v>
      </c>
      <c r="G17" s="424">
        <f>AJ17</f>
        <v>2973.800079061115</v>
      </c>
      <c r="H17" s="424">
        <f>AO17</f>
        <v>22823.719866628271</v>
      </c>
      <c r="I17" s="424">
        <f>AT17</f>
        <v>27064.497514684583</v>
      </c>
      <c r="J17" s="180">
        <f>SUM(J18-Z18)</f>
        <v>53507.231534220366</v>
      </c>
      <c r="K17" s="424">
        <f>AZ17</f>
        <v>30016.296973899887</v>
      </c>
      <c r="L17" s="424">
        <f>BE17</f>
        <v>38014.582370710603</v>
      </c>
      <c r="M17" s="424">
        <f>BJ17</f>
        <v>51212.021592755438</v>
      </c>
      <c r="N17" s="424">
        <f>BO17</f>
        <v>87867.105653381048</v>
      </c>
      <c r="O17" s="180">
        <f>SUM(O18-J18)</f>
        <v>207110.00659074698</v>
      </c>
      <c r="P17" s="424">
        <f>BU17</f>
        <v>149122.21025034846</v>
      </c>
      <c r="Q17" s="424">
        <f>BZ17</f>
        <v>259867.63818218926</v>
      </c>
      <c r="R17" s="424">
        <f>CE17</f>
        <v>469224.34463756904</v>
      </c>
      <c r="S17" s="424">
        <f>CJ17</f>
        <v>876021.60828271881</v>
      </c>
      <c r="T17" s="181">
        <f>SUM(T18-O18)</f>
        <v>1754235.8013528257</v>
      </c>
      <c r="U17" s="184"/>
      <c r="V17" s="182">
        <f>SUM((V8+(T18*V14))-(T18*V15))</f>
        <v>3874852.639955854</v>
      </c>
      <c r="W17" s="180">
        <f>SUM((W8+(V18*W14))-(V18*W15))</f>
        <v>8119735.9909960506</v>
      </c>
      <c r="X17" s="183">
        <f>SUM((X8+(W18*X14))-(W18*X15))</f>
        <v>11283735.635974439</v>
      </c>
      <c r="Y17" s="184"/>
      <c r="Z17" s="575">
        <v>1500</v>
      </c>
      <c r="AA17" s="614"/>
      <c r="AB17" s="533">
        <f>SUM((AB8+(Z18*AB14))-(Z18*AB15))</f>
        <v>514.4855</v>
      </c>
      <c r="AC17" s="424">
        <f>SUM((AC8+(AB18*AC14))-(AB18*AC15))</f>
        <v>108.04041154349989</v>
      </c>
      <c r="AD17" s="424">
        <f>SUM((AD8+(AC18*AD14))-(AC18*AD15))</f>
        <v>22.688162302900082</v>
      </c>
      <c r="AE17" s="180">
        <f t="shared" si="36"/>
        <v>645.21407384639997</v>
      </c>
      <c r="AF17" s="183"/>
      <c r="AG17" s="533">
        <f>SUM((AG8+(AD18*AG14))-(AD18*AG15))</f>
        <v>1483.7214068222552</v>
      </c>
      <c r="AH17" s="424">
        <f>SUM((AH8+(AG18*AH14))-(AG18*AH15))</f>
        <v>919.83088262875231</v>
      </c>
      <c r="AI17" s="424">
        <f>SUM((AI8+(AH18*AI14))-(AH18*AI15))</f>
        <v>570.24778961010725</v>
      </c>
      <c r="AJ17" s="180">
        <f t="shared" si="37"/>
        <v>2973.800079061115</v>
      </c>
      <c r="AK17" s="183"/>
      <c r="AL17" s="533">
        <f>SUM((AL8+(AI18*AL14))-(AI18*AL15))</f>
        <v>7101.2731616438332</v>
      </c>
      <c r="AM17" s="424">
        <f>SUM((AM8+(AL18*AM14))-(AL18*AM15))</f>
        <v>7596.3993009967235</v>
      </c>
      <c r="AN17" s="424">
        <f>SUM((AN8+(AM18*AN14))-(AM18*AN15))</f>
        <v>8126.0474039877154</v>
      </c>
      <c r="AO17" s="180">
        <f t="shared" si="38"/>
        <v>22823.719866628271</v>
      </c>
      <c r="AP17" s="183"/>
      <c r="AQ17" s="533">
        <f>SUM((AQ8+(AN18*AQ14))-(AN18*AQ15))</f>
        <v>8629.7713212988747</v>
      </c>
      <c r="AR17" s="424">
        <f>SUM((AR8+(AQ18*AR14))-(AQ18*AR15))</f>
        <v>9015.7448452251938</v>
      </c>
      <c r="AS17" s="424">
        <f>SUM((AS8+(AR18*AS14))-(AR18*AS15))</f>
        <v>9418.9813481605179</v>
      </c>
      <c r="AT17" s="180">
        <f t="shared" si="39"/>
        <v>27064.497514684583</v>
      </c>
      <c r="AU17" s="183"/>
      <c r="AV17" s="614"/>
      <c r="AW17" s="533">
        <f>SUM((AW8+(AS18*AW14))-(AS18*AW15))</f>
        <v>9788.8373724912635</v>
      </c>
      <c r="AX17" s="424">
        <f>SUM((AX8+(AW18*AX14))-(AW18*AX15))</f>
        <v>10003.857951442918</v>
      </c>
      <c r="AY17" s="424">
        <f>SUM((AY8+(AX18*AY14))-(AX18*AY15))</f>
        <v>10223.601649965707</v>
      </c>
      <c r="AZ17" s="180">
        <f t="shared" si="40"/>
        <v>30016.296973899887</v>
      </c>
      <c r="BA17" s="183"/>
      <c r="BB17" s="533">
        <f>SUM((BB8+(AY18*BB14))-(AY18*BB15))</f>
        <v>12634.121766911336</v>
      </c>
      <c r="BC17" s="424">
        <f>SUM((BC8+(BB18*BC14))-(BB18*BC15))</f>
        <v>12671.490614064664</v>
      </c>
      <c r="BD17" s="424">
        <f>SUM((BD8+(BC18*BD14))-(BC18*BD15))</f>
        <v>12708.969989734604</v>
      </c>
      <c r="BE17" s="180">
        <f t="shared" si="41"/>
        <v>38014.582370710603</v>
      </c>
      <c r="BF17" s="183"/>
      <c r="BG17" s="533">
        <f>SUM((BG8+(BD18*BG14))-(BD18*BG15))</f>
        <v>16969.589006543509</v>
      </c>
      <c r="BH17" s="424">
        <f>SUM((BH8+(BG18*BH14))-(BG18*BH15))</f>
        <v>17070.473942491826</v>
      </c>
      <c r="BI17" s="424">
        <f>SUM((BI8+(BH18*BI14))-(BH18*BI15))</f>
        <v>17171.958643720103</v>
      </c>
      <c r="BJ17" s="180">
        <f t="shared" si="42"/>
        <v>51212.021592755438</v>
      </c>
      <c r="BK17" s="183"/>
      <c r="BL17" s="533">
        <f>SUM((BL8+(BI18*BL14))-(BI18*BL15))</f>
        <v>28856.14481275704</v>
      </c>
      <c r="BM17" s="424">
        <f>SUM((BM8+(BL18*BM14))-(BL18*BM15))</f>
        <v>29286.891907008292</v>
      </c>
      <c r="BN17" s="424">
        <f>SUM((BN8+(BM18*BN14))-(BM18*BN15))</f>
        <v>29724.068933615719</v>
      </c>
      <c r="BO17" s="180">
        <f>SUM(BL17:BN17)</f>
        <v>87867.105653381048</v>
      </c>
      <c r="BP17" s="183"/>
      <c r="BQ17" s="184"/>
      <c r="BR17" s="533">
        <f>SUM((BR8+(BN18*BR14))-(BN18*BR15))</f>
        <v>48538.166087779522</v>
      </c>
      <c r="BS17" s="424">
        <f>SUM((BS8+(BR18*BS14))-(BR18*BS15))</f>
        <v>49698.162633737971</v>
      </c>
      <c r="BT17" s="424">
        <f>SUM((BT8+(BS18*BT14))-(BS18*BT15))</f>
        <v>50885.881528830971</v>
      </c>
      <c r="BU17" s="180">
        <f>SUM(BR17:BT17)</f>
        <v>149122.21025034846</v>
      </c>
      <c r="BV17" s="183"/>
      <c r="BW17" s="533">
        <f>SUM((BW8+(BT18*BW14))-(BT18*BW15))</f>
        <v>83838.024942928576</v>
      </c>
      <c r="BX17" s="424">
        <f>SUM((BX8+(BW18*BX14))-(BW18*BX15))</f>
        <v>86592.382789928728</v>
      </c>
      <c r="BY17" s="424">
        <f>SUM((BY8+(BX18*BY14))-(BX18*BY15))</f>
        <v>89437.230449331953</v>
      </c>
      <c r="BZ17" s="180">
        <f>SUM(BW17:BY17)</f>
        <v>259867.63818218926</v>
      </c>
      <c r="CA17" s="183"/>
      <c r="CB17" s="533">
        <f>SUM((CB8+(BY18*CB14))-(BY18*CB15))</f>
        <v>150051.53435067582</v>
      </c>
      <c r="CC17" s="424">
        <f>SUM((CC8+(CB18*CC14))-(CB18*CC15))</f>
        <v>156320.80324837402</v>
      </c>
      <c r="CD17" s="424">
        <f>SUM((CD8+(CC18*CD14))-(CC18*CD15))</f>
        <v>162852.00703851919</v>
      </c>
      <c r="CE17" s="180">
        <f>SUM(CB17:CD17)</f>
        <v>469224.34463756904</v>
      </c>
      <c r="CF17" s="183"/>
      <c r="CG17" s="533">
        <f>SUM((CG8+(CD18*CG14))-(CD18*CG15))</f>
        <v>277700.82343576709</v>
      </c>
      <c r="CH17" s="424">
        <f>SUM((CH8+(CG18*CH14))-(CG18*CH15))</f>
        <v>291769.61970768624</v>
      </c>
      <c r="CI17" s="424">
        <f>SUM((CI8+(CH18*CI14))-(CH18*CI15))</f>
        <v>306551.16513926547</v>
      </c>
      <c r="CJ17" s="180">
        <f>SUM(CG17:CI17)</f>
        <v>876021.60828271881</v>
      </c>
      <c r="CK17" s="183"/>
      <c r="CL17" s="174"/>
      <c r="CM17" s="174"/>
      <c r="CN17" s="174"/>
      <c r="CO17" s="174"/>
      <c r="CP17" s="174"/>
      <c r="CQ17" s="174"/>
      <c r="CR17" s="174"/>
      <c r="CS17" s="174"/>
      <c r="CT17" s="174"/>
      <c r="CU17" s="174"/>
      <c r="CV17" s="174"/>
      <c r="CW17" s="174"/>
      <c r="CX17" s="174"/>
      <c r="CY17" s="174"/>
      <c r="CZ17" s="174"/>
      <c r="DA17" s="174"/>
      <c r="DB17" s="174"/>
      <c r="DC17" s="174"/>
      <c r="DD17" s="174"/>
      <c r="DE17" s="174"/>
      <c r="DF17" s="174"/>
      <c r="DG17" s="174"/>
      <c r="DH17" s="174"/>
      <c r="DI17" s="174"/>
      <c r="DJ17" s="174"/>
      <c r="DK17" s="174"/>
      <c r="DL17" s="174"/>
      <c r="DM17" s="174"/>
      <c r="DN17" s="174"/>
      <c r="DO17" s="174"/>
      <c r="DP17" s="174"/>
      <c r="DQ17" s="174"/>
      <c r="DR17" s="174"/>
      <c r="DS17" s="174"/>
      <c r="DT17" s="174"/>
      <c r="DU17" s="174"/>
      <c r="DV17" s="174"/>
      <c r="DW17" s="174"/>
      <c r="DX17" s="174"/>
      <c r="DY17" s="174"/>
      <c r="DZ17" s="174"/>
      <c r="EA17" s="174"/>
      <c r="EB17" s="174"/>
      <c r="EC17" s="174"/>
      <c r="ED17" s="174"/>
      <c r="EE17" s="174"/>
      <c r="EF17" s="174"/>
      <c r="EG17" s="174"/>
      <c r="EH17" s="174"/>
      <c r="EI17" s="174"/>
      <c r="EJ17" s="174"/>
      <c r="EK17" s="174"/>
      <c r="EL17" s="174"/>
      <c r="EM17" s="174"/>
      <c r="EN17" s="174"/>
      <c r="EO17" s="174"/>
      <c r="EP17" s="174"/>
      <c r="EQ17" s="174"/>
      <c r="ER17" s="174"/>
      <c r="ES17" s="174"/>
      <c r="ET17" s="174"/>
      <c r="EU17" s="174"/>
      <c r="EV17" s="174"/>
      <c r="EW17" s="174"/>
      <c r="EX17" s="174"/>
      <c r="EY17" s="174"/>
      <c r="EZ17" s="174"/>
      <c r="FA17" s="174"/>
      <c r="FB17" s="174"/>
      <c r="FC17" s="174"/>
      <c r="FD17" s="174"/>
      <c r="FE17" s="174"/>
      <c r="FF17" s="174"/>
      <c r="FG17" s="174"/>
      <c r="FH17" s="174"/>
      <c r="FI17" s="174"/>
      <c r="FJ17" s="174"/>
      <c r="FK17" s="174"/>
      <c r="FL17" s="174"/>
      <c r="FM17" s="174"/>
      <c r="FN17" s="174"/>
      <c r="FO17" s="174"/>
      <c r="FP17" s="174"/>
      <c r="FQ17" s="174"/>
      <c r="FR17" s="174"/>
      <c r="FS17" s="174"/>
      <c r="FT17" s="174"/>
      <c r="FU17" s="174"/>
      <c r="FV17" s="174"/>
      <c r="FW17" s="174"/>
    </row>
    <row r="18" spans="1:179" s="57" customFormat="1" ht="9.75" customHeight="1" x14ac:dyDescent="0.15">
      <c r="A18" s="422" t="s">
        <v>217</v>
      </c>
      <c r="B18" s="185"/>
      <c r="C18" s="186"/>
      <c r="D18" s="636"/>
      <c r="E18" s="637"/>
      <c r="F18" s="423">
        <f>AE18</f>
        <v>2145.2140738464004</v>
      </c>
      <c r="G18" s="424">
        <f>AJ18</f>
        <v>5119.0141529075154</v>
      </c>
      <c r="H18" s="424">
        <f>AO18</f>
        <v>27942.734019535787</v>
      </c>
      <c r="I18" s="424">
        <f>AT18</f>
        <v>55007.231534220366</v>
      </c>
      <c r="J18" s="180">
        <f>AS18</f>
        <v>55007.231534220366</v>
      </c>
      <c r="K18" s="424">
        <f>AZ18</f>
        <v>85023.52850812026</v>
      </c>
      <c r="L18" s="424">
        <f>BE18</f>
        <v>123038.11087883086</v>
      </c>
      <c r="M18" s="424">
        <f>BJ18</f>
        <v>174250.13247158632</v>
      </c>
      <c r="N18" s="424">
        <f>BO18</f>
        <v>262117.23812496735</v>
      </c>
      <c r="O18" s="180">
        <f>BN18</f>
        <v>262117.23812496735</v>
      </c>
      <c r="P18" s="424">
        <f>BU18</f>
        <v>411239.44837531581</v>
      </c>
      <c r="Q18" s="424">
        <f>BZ18</f>
        <v>671107.08655750507</v>
      </c>
      <c r="R18" s="424">
        <f>CE18</f>
        <v>1140331.4311950742</v>
      </c>
      <c r="S18" s="424">
        <f>CJ18</f>
        <v>2016353.039477793</v>
      </c>
      <c r="T18" s="181">
        <f>CI18</f>
        <v>2016353.039477793</v>
      </c>
      <c r="U18" s="184"/>
      <c r="V18" s="182">
        <f>SUM(T18+V17)</f>
        <v>5891205.6794336475</v>
      </c>
      <c r="W18" s="180">
        <f>SUM(V18+W17)</f>
        <v>14010941.670429699</v>
      </c>
      <c r="X18" s="183">
        <f>SUM(W18+X17)</f>
        <v>25294677.306404136</v>
      </c>
      <c r="Y18" s="184"/>
      <c r="Z18" s="576">
        <v>1500</v>
      </c>
      <c r="AA18" s="614"/>
      <c r="AB18" s="533">
        <f>SUM(Z18+AB17)</f>
        <v>2014.4855</v>
      </c>
      <c r="AC18" s="424">
        <f>SUM(AB18+AC17)</f>
        <v>2122.5259115435001</v>
      </c>
      <c r="AD18" s="424">
        <f>SUM(AC18+AD17)</f>
        <v>2145.2140738464004</v>
      </c>
      <c r="AE18" s="180">
        <f>AD18</f>
        <v>2145.2140738464004</v>
      </c>
      <c r="AF18" s="183"/>
      <c r="AG18" s="533">
        <f>SUM(AD18+AG17)</f>
        <v>3628.9354806686556</v>
      </c>
      <c r="AH18" s="424">
        <f>SUM(AG18+AH17)</f>
        <v>4548.7663632974081</v>
      </c>
      <c r="AI18" s="424">
        <f>SUM(AH18+AI17)</f>
        <v>5119.0141529075154</v>
      </c>
      <c r="AJ18" s="180">
        <f>AI18</f>
        <v>5119.0141529075154</v>
      </c>
      <c r="AK18" s="183"/>
      <c r="AL18" s="533">
        <f>SUM(AI18+AL17)</f>
        <v>12220.287314551348</v>
      </c>
      <c r="AM18" s="424">
        <f>SUM(AL18+AM17)</f>
        <v>19816.686615548071</v>
      </c>
      <c r="AN18" s="424">
        <f>SUM(AM18+AN17)</f>
        <v>27942.734019535787</v>
      </c>
      <c r="AO18" s="180">
        <f>AN18</f>
        <v>27942.734019535787</v>
      </c>
      <c r="AP18" s="183"/>
      <c r="AQ18" s="533">
        <f>SUM(AN18+AQ17)</f>
        <v>36572.505340834658</v>
      </c>
      <c r="AR18" s="424">
        <f>SUM(AQ18+AR17)</f>
        <v>45588.25018605985</v>
      </c>
      <c r="AS18" s="424">
        <f>SUM(AR18+AS17)</f>
        <v>55007.231534220366</v>
      </c>
      <c r="AT18" s="180">
        <f>AS18</f>
        <v>55007.231534220366</v>
      </c>
      <c r="AU18" s="183"/>
      <c r="AV18" s="614"/>
      <c r="AW18" s="533">
        <f>SUM(AS18+AW17)</f>
        <v>64796.068906711633</v>
      </c>
      <c r="AX18" s="424">
        <f>SUM(AW18+AX17)</f>
        <v>74799.926858154548</v>
      </c>
      <c r="AY18" s="424">
        <f>SUM(AX18+AY17)</f>
        <v>85023.52850812026</v>
      </c>
      <c r="AZ18" s="180">
        <f>AY18</f>
        <v>85023.52850812026</v>
      </c>
      <c r="BA18" s="183"/>
      <c r="BB18" s="533">
        <f>SUM(AY18+BB17)</f>
        <v>97657.650275031599</v>
      </c>
      <c r="BC18" s="424">
        <f>SUM(BB18+BC17)</f>
        <v>110329.14088909626</v>
      </c>
      <c r="BD18" s="424">
        <f>SUM(BC18+BD17)</f>
        <v>123038.11087883086</v>
      </c>
      <c r="BE18" s="180">
        <f>BD18</f>
        <v>123038.11087883086</v>
      </c>
      <c r="BF18" s="183"/>
      <c r="BG18" s="533">
        <f>SUM(BD18+BG17)</f>
        <v>140007.69988537437</v>
      </c>
      <c r="BH18" s="424">
        <f>SUM(BG18+BH17)</f>
        <v>157078.17382786621</v>
      </c>
      <c r="BI18" s="424">
        <f>SUM(BH18+BI17)</f>
        <v>174250.13247158632</v>
      </c>
      <c r="BJ18" s="180">
        <f>BI18</f>
        <v>174250.13247158632</v>
      </c>
      <c r="BK18" s="183"/>
      <c r="BL18" s="533">
        <f>SUM(BI18+BL17)</f>
        <v>203106.27728434335</v>
      </c>
      <c r="BM18" s="424">
        <f>SUM(BL18+BM17)</f>
        <v>232393.16919135163</v>
      </c>
      <c r="BN18" s="424">
        <f>SUM(BM18+BN17)</f>
        <v>262117.23812496735</v>
      </c>
      <c r="BO18" s="180">
        <f>BN18</f>
        <v>262117.23812496735</v>
      </c>
      <c r="BP18" s="183"/>
      <c r="BQ18" s="184"/>
      <c r="BR18" s="533">
        <f>SUM(BO18+BR17)</f>
        <v>310655.40421274689</v>
      </c>
      <c r="BS18" s="424">
        <f>SUM(BR18+BS17)</f>
        <v>360353.56684648484</v>
      </c>
      <c r="BT18" s="424">
        <f>SUM(BS18+BT17)</f>
        <v>411239.44837531581</v>
      </c>
      <c r="BU18" s="180">
        <f>BT18</f>
        <v>411239.44837531581</v>
      </c>
      <c r="BV18" s="183"/>
      <c r="BW18" s="533">
        <f>SUM(BT18+BW17)</f>
        <v>495077.47331824439</v>
      </c>
      <c r="BX18" s="424">
        <f>SUM(BW18+BX17)</f>
        <v>581669.85610817315</v>
      </c>
      <c r="BY18" s="424">
        <f>SUM(BX18+BY17)</f>
        <v>671107.08655750507</v>
      </c>
      <c r="BZ18" s="180">
        <f>BY18</f>
        <v>671107.08655750507</v>
      </c>
      <c r="CA18" s="183"/>
      <c r="CB18" s="533">
        <f>SUM(BY18+CB17)</f>
        <v>821158.62090818095</v>
      </c>
      <c r="CC18" s="424">
        <f>SUM(CB18+CC17)</f>
        <v>977479.42415655497</v>
      </c>
      <c r="CD18" s="424">
        <f>SUM(CC18+CD17)</f>
        <v>1140331.4311950742</v>
      </c>
      <c r="CE18" s="180">
        <f>CD18</f>
        <v>1140331.4311950742</v>
      </c>
      <c r="CF18" s="183"/>
      <c r="CG18" s="533">
        <f>SUM(CD18+CG17)</f>
        <v>1418032.2546308413</v>
      </c>
      <c r="CH18" s="424">
        <f>SUM(CG18+CH17)</f>
        <v>1709801.8743385277</v>
      </c>
      <c r="CI18" s="424">
        <f>SUM(CH18+CI17)</f>
        <v>2016353.039477793</v>
      </c>
      <c r="CJ18" s="180">
        <f>CI18</f>
        <v>2016353.039477793</v>
      </c>
      <c r="CK18" s="183"/>
      <c r="CL18" s="55"/>
      <c r="CM18" s="55"/>
      <c r="CN18" s="55"/>
      <c r="CO18" s="55"/>
      <c r="CP18" s="55"/>
      <c r="CQ18" s="55"/>
      <c r="CR18" s="55"/>
      <c r="CS18" s="55"/>
      <c r="CT18" s="55"/>
      <c r="CU18" s="55"/>
      <c r="CV18" s="55"/>
      <c r="CW18" s="55"/>
      <c r="CX18" s="55"/>
      <c r="CY18" s="55"/>
      <c r="CZ18" s="55"/>
      <c r="DA18" s="55"/>
      <c r="DB18" s="55"/>
      <c r="DC18" s="55"/>
      <c r="DD18" s="55"/>
      <c r="DE18" s="55"/>
      <c r="DF18" s="55"/>
      <c r="DG18" s="55"/>
      <c r="DH18" s="55"/>
      <c r="DI18" s="55"/>
      <c r="DJ18" s="55"/>
      <c r="DK18" s="55"/>
      <c r="DL18" s="55"/>
      <c r="DM18" s="55"/>
      <c r="DN18" s="55"/>
      <c r="DO18" s="55"/>
      <c r="DP18" s="55"/>
      <c r="DQ18" s="55"/>
      <c r="DR18" s="55"/>
      <c r="DS18" s="55"/>
      <c r="DT18" s="55"/>
      <c r="DU18" s="55"/>
      <c r="DV18" s="55"/>
      <c r="DW18" s="55"/>
      <c r="DX18" s="55"/>
      <c r="DY18" s="55"/>
      <c r="DZ18" s="55"/>
      <c r="EA18" s="55"/>
      <c r="EB18" s="55"/>
      <c r="EC18" s="55"/>
      <c r="ED18" s="55"/>
      <c r="EE18" s="55"/>
      <c r="EF18" s="55"/>
      <c r="EG18" s="55"/>
      <c r="EH18" s="55"/>
      <c r="EI18" s="55"/>
      <c r="EJ18" s="55"/>
      <c r="EK18" s="55"/>
      <c r="EL18" s="55"/>
      <c r="EM18" s="55"/>
      <c r="EN18" s="55"/>
      <c r="EO18" s="55"/>
      <c r="EP18" s="55"/>
      <c r="EQ18" s="55"/>
      <c r="ER18" s="55"/>
      <c r="ES18" s="55"/>
      <c r="ET18" s="55"/>
      <c r="EU18" s="55"/>
      <c r="EV18" s="55"/>
      <c r="EW18" s="55"/>
      <c r="EX18" s="55"/>
      <c r="EY18" s="55"/>
      <c r="EZ18" s="55"/>
      <c r="FA18" s="55"/>
      <c r="FB18" s="55"/>
      <c r="FC18" s="55"/>
      <c r="FD18" s="55"/>
      <c r="FE18" s="55"/>
      <c r="FF18" s="55"/>
      <c r="FG18" s="55"/>
      <c r="FH18" s="55"/>
      <c r="FI18" s="55"/>
      <c r="FJ18" s="55"/>
      <c r="FK18" s="55"/>
      <c r="FL18" s="55"/>
      <c r="FM18" s="55"/>
      <c r="FN18" s="55"/>
      <c r="FO18" s="55"/>
      <c r="FP18" s="55"/>
      <c r="FQ18" s="55"/>
      <c r="FR18" s="55"/>
      <c r="FS18" s="55"/>
      <c r="FT18" s="55"/>
      <c r="FU18" s="55"/>
      <c r="FV18" s="55"/>
      <c r="FW18" s="55"/>
    </row>
    <row r="19" spans="1:179" s="55" customFormat="1" ht="4.5" customHeight="1" x14ac:dyDescent="0.15">
      <c r="A19" s="189"/>
      <c r="B19" s="190"/>
      <c r="C19" s="191"/>
      <c r="D19" s="192"/>
      <c r="E19" s="193"/>
      <c r="F19" s="194"/>
      <c r="G19" s="195"/>
      <c r="H19" s="195"/>
      <c r="I19" s="195"/>
      <c r="J19" s="196"/>
      <c r="K19" s="195"/>
      <c r="L19" s="195"/>
      <c r="M19" s="195"/>
      <c r="N19" s="195"/>
      <c r="O19" s="196"/>
      <c r="P19" s="195"/>
      <c r="Q19" s="195"/>
      <c r="R19" s="195"/>
      <c r="S19" s="195"/>
      <c r="T19" s="197"/>
      <c r="U19" s="199"/>
      <c r="V19" s="190"/>
      <c r="W19" s="195"/>
      <c r="X19" s="198"/>
      <c r="Y19" s="199"/>
      <c r="Z19" s="564"/>
      <c r="AA19" s="615"/>
      <c r="AB19" s="593"/>
      <c r="AC19" s="200"/>
      <c r="AD19" s="200"/>
      <c r="AE19" s="200"/>
      <c r="AF19" s="201"/>
      <c r="AG19" s="593"/>
      <c r="AH19" s="200"/>
      <c r="AI19" s="200"/>
      <c r="AJ19" s="200"/>
      <c r="AK19" s="201"/>
      <c r="AL19" s="593"/>
      <c r="AM19" s="200"/>
      <c r="AN19" s="200"/>
      <c r="AO19" s="200"/>
      <c r="AP19" s="201"/>
      <c r="AQ19" s="593"/>
      <c r="AR19" s="200"/>
      <c r="AS19" s="200"/>
      <c r="AT19" s="200"/>
      <c r="AU19" s="201"/>
      <c r="AV19" s="615"/>
      <c r="AW19" s="593"/>
      <c r="AX19" s="200"/>
      <c r="AY19" s="200"/>
      <c r="AZ19" s="200"/>
      <c r="BA19" s="201"/>
      <c r="BB19" s="593"/>
      <c r="BC19" s="200"/>
      <c r="BD19" s="200"/>
      <c r="BE19" s="200"/>
      <c r="BF19" s="201"/>
      <c r="BG19" s="593"/>
      <c r="BH19" s="200"/>
      <c r="BI19" s="200"/>
      <c r="BJ19" s="200"/>
      <c r="BK19" s="201"/>
      <c r="BL19" s="593"/>
      <c r="BM19" s="200"/>
      <c r="BN19" s="200"/>
      <c r="BO19" s="200"/>
      <c r="BP19" s="201"/>
      <c r="BQ19" s="199"/>
      <c r="BR19" s="593"/>
      <c r="BS19" s="200"/>
      <c r="BT19" s="200"/>
      <c r="BU19" s="200"/>
      <c r="BV19" s="201"/>
      <c r="BW19" s="593"/>
      <c r="BX19" s="200"/>
      <c r="BY19" s="200"/>
      <c r="BZ19" s="200"/>
      <c r="CA19" s="201"/>
      <c r="CB19" s="593"/>
      <c r="CC19" s="200"/>
      <c r="CD19" s="200"/>
      <c r="CE19" s="200"/>
      <c r="CF19" s="201"/>
      <c r="CG19" s="593"/>
      <c r="CH19" s="200"/>
      <c r="CI19" s="200"/>
      <c r="CJ19" s="200"/>
      <c r="CK19" s="201"/>
    </row>
    <row r="20" spans="1:179" s="57" customFormat="1" ht="9.75" customHeight="1" x14ac:dyDescent="0.15">
      <c r="A20" s="486" t="s">
        <v>218</v>
      </c>
      <c r="B20" s="125"/>
      <c r="C20" s="202"/>
      <c r="D20" s="630"/>
      <c r="E20" s="631"/>
      <c r="F20" s="497"/>
      <c r="G20" s="496"/>
      <c r="H20" s="496"/>
      <c r="I20" s="496"/>
      <c r="J20" s="205"/>
      <c r="K20" s="496"/>
      <c r="L20" s="496"/>
      <c r="M20" s="496"/>
      <c r="N20" s="496"/>
      <c r="O20" s="205"/>
      <c r="P20" s="496"/>
      <c r="Q20" s="496"/>
      <c r="R20" s="496"/>
      <c r="S20" s="496"/>
      <c r="T20" s="206"/>
      <c r="U20" s="209"/>
      <c r="V20" s="207"/>
      <c r="W20" s="205"/>
      <c r="X20" s="208"/>
      <c r="Y20" s="209"/>
      <c r="Z20" s="577"/>
      <c r="AA20" s="616"/>
      <c r="AB20" s="594"/>
      <c r="AC20" s="490"/>
      <c r="AD20" s="490"/>
      <c r="AE20" s="490"/>
      <c r="AF20" s="212"/>
      <c r="AG20" s="594"/>
      <c r="AH20" s="490"/>
      <c r="AI20" s="490"/>
      <c r="AJ20" s="490"/>
      <c r="AK20" s="212"/>
      <c r="AL20" s="594"/>
      <c r="AM20" s="490"/>
      <c r="AN20" s="490"/>
      <c r="AO20" s="490"/>
      <c r="AP20" s="212"/>
      <c r="AQ20" s="594"/>
      <c r="AR20" s="490"/>
      <c r="AS20" s="490"/>
      <c r="AT20" s="490"/>
      <c r="AU20" s="212"/>
      <c r="AV20" s="616"/>
      <c r="AW20" s="594"/>
      <c r="AX20" s="490"/>
      <c r="AY20" s="490"/>
      <c r="AZ20" s="490"/>
      <c r="BA20" s="212"/>
      <c r="BB20" s="594"/>
      <c r="BC20" s="490"/>
      <c r="BD20" s="490"/>
      <c r="BE20" s="490"/>
      <c r="BF20" s="212"/>
      <c r="BG20" s="594"/>
      <c r="BH20" s="490"/>
      <c r="BI20" s="490"/>
      <c r="BJ20" s="490"/>
      <c r="BK20" s="212"/>
      <c r="BL20" s="594"/>
      <c r="BM20" s="490"/>
      <c r="BN20" s="490"/>
      <c r="BO20" s="490"/>
      <c r="BP20" s="212"/>
      <c r="BQ20" s="209"/>
      <c r="BR20" s="594"/>
      <c r="BS20" s="490"/>
      <c r="BT20" s="490"/>
      <c r="BU20" s="490"/>
      <c r="BV20" s="212"/>
      <c r="BW20" s="594"/>
      <c r="BX20" s="490"/>
      <c r="BY20" s="490"/>
      <c r="BZ20" s="490"/>
      <c r="CA20" s="212"/>
      <c r="CB20" s="594"/>
      <c r="CC20" s="490"/>
      <c r="CD20" s="490"/>
      <c r="CE20" s="490"/>
      <c r="CF20" s="212"/>
      <c r="CG20" s="594"/>
      <c r="CH20" s="490"/>
      <c r="CI20" s="490"/>
      <c r="CJ20" s="490"/>
      <c r="CK20" s="212"/>
      <c r="CL20" s="55"/>
      <c r="CM20" s="55"/>
      <c r="CN20" s="55"/>
      <c r="CO20" s="55"/>
      <c r="CP20" s="55"/>
      <c r="CQ20" s="55"/>
      <c r="CR20" s="55"/>
      <c r="CS20" s="55"/>
      <c r="CT20" s="55"/>
      <c r="CU20" s="55"/>
      <c r="CV20" s="55"/>
      <c r="CW20" s="55"/>
      <c r="CX20" s="55"/>
      <c r="CY20" s="55"/>
      <c r="CZ20" s="55"/>
      <c r="DA20" s="55"/>
      <c r="DB20" s="55"/>
      <c r="DC20" s="55"/>
      <c r="DD20" s="55"/>
      <c r="DE20" s="55"/>
      <c r="DF20" s="55"/>
      <c r="DG20" s="55"/>
      <c r="DH20" s="55"/>
      <c r="DI20" s="55"/>
      <c r="DJ20" s="55"/>
      <c r="DK20" s="55"/>
      <c r="DL20" s="55"/>
      <c r="DM20" s="55"/>
      <c r="DN20" s="55"/>
      <c r="DO20" s="55"/>
      <c r="DP20" s="55"/>
      <c r="DQ20" s="55"/>
      <c r="DR20" s="55"/>
      <c r="DS20" s="55"/>
      <c r="DT20" s="55"/>
      <c r="DU20" s="55"/>
      <c r="DV20" s="55"/>
      <c r="DW20" s="55"/>
      <c r="DX20" s="55"/>
      <c r="DY20" s="55"/>
      <c r="DZ20" s="55"/>
      <c r="EA20" s="55"/>
      <c r="EB20" s="55"/>
      <c r="EC20" s="55"/>
      <c r="ED20" s="55"/>
      <c r="EE20" s="55"/>
      <c r="EF20" s="55"/>
      <c r="EG20" s="55"/>
      <c r="EH20" s="55"/>
      <c r="EI20" s="55"/>
      <c r="EJ20" s="55"/>
      <c r="EK20" s="55"/>
      <c r="EL20" s="55"/>
      <c r="EM20" s="55"/>
      <c r="EN20" s="55"/>
      <c r="EO20" s="55"/>
      <c r="EP20" s="55"/>
      <c r="EQ20" s="55"/>
      <c r="ER20" s="55"/>
      <c r="ES20" s="55"/>
      <c r="ET20" s="55"/>
      <c r="EU20" s="55"/>
      <c r="EV20" s="55"/>
      <c r="EW20" s="55"/>
      <c r="EX20" s="55"/>
      <c r="EY20" s="55"/>
      <c r="EZ20" s="55"/>
      <c r="FA20" s="55"/>
      <c r="FB20" s="55"/>
      <c r="FC20" s="55"/>
      <c r="FD20" s="55"/>
      <c r="FE20" s="55"/>
      <c r="FF20" s="55"/>
      <c r="FG20" s="55"/>
      <c r="FH20" s="55"/>
      <c r="FI20" s="55"/>
      <c r="FJ20" s="55"/>
      <c r="FK20" s="55"/>
      <c r="FL20" s="55"/>
      <c r="FM20" s="55"/>
      <c r="FN20" s="55"/>
      <c r="FO20" s="55"/>
      <c r="FP20" s="55"/>
      <c r="FQ20" s="55"/>
      <c r="FR20" s="55"/>
      <c r="FS20" s="55"/>
      <c r="FT20" s="55"/>
      <c r="FU20" s="55"/>
      <c r="FV20" s="55"/>
      <c r="FW20" s="55"/>
    </row>
    <row r="21" spans="1:179" s="57" customFormat="1" ht="9.75" customHeight="1" x14ac:dyDescent="0.15">
      <c r="A21" s="468" t="s">
        <v>144</v>
      </c>
      <c r="B21" s="213">
        <v>0.3</v>
      </c>
      <c r="C21" s="214">
        <v>7.0000000000000007E-2</v>
      </c>
      <c r="D21" s="224"/>
      <c r="E21" s="225"/>
      <c r="F21" s="215">
        <v>0</v>
      </c>
      <c r="G21" s="216">
        <v>0</v>
      </c>
      <c r="H21" s="493">
        <f>SUM(IF(ISBLANK(D21),B21,D21))</f>
        <v>0.3</v>
      </c>
      <c r="I21" s="493">
        <f>SUM(IF((1*(IF(ISBLANK(E21),C21,E21)))+IF(ISBLANK(D21),B21,D21) &lt; 0, 0, (1*(IF(ISBLANK(E21),C21,E21)))+IF(ISBLANK(D21),B21,D21)))</f>
        <v>0.37</v>
      </c>
      <c r="J21" s="217">
        <f>SUM(AE21+AJ21+AO21+AT21)</f>
        <v>68746.067597503061</v>
      </c>
      <c r="K21" s="493">
        <f>SUM(IF((2*(IF(ISBLANK(E21),C21,E21)))+IF(ISBLANK(D21),B21,D21) &lt; 0, 0, (2*(IF(ISBLANK(E21),C21,E21)))+IF(ISBLANK(D21),B21,D21)))</f>
        <v>0.44</v>
      </c>
      <c r="L21" s="493">
        <f>SUM(IF((3*(IF(ISBLANK(E21),C21,E21)))+IF(ISBLANK(D21),B21,D21) &lt; 0, 0, (3*(IF(ISBLANK(E21),C21,E21)))+IF(ISBLANK(D21),B21,D21)))</f>
        <v>0.51</v>
      </c>
      <c r="M21" s="493">
        <f>SUM(IF((4*(IF(ISBLANK(E21),C21,E21)))+IF(ISBLANK(D21),B21,D21) &lt; 0, 0, (4*(IF(ISBLANK(E21),C21,E21)))+IF(ISBLANK(D21),B21,D21)))</f>
        <v>0.58000000000000007</v>
      </c>
      <c r="N21" s="493">
        <f>SUM(IF((5*(IF(ISBLANK(E21),C21,E21)))+IF(ISBLANK(D21),B21,D21) &lt; 0, 0, (5*(IF(ISBLANK(E21),C21,E21)))+IF(ISBLANK(D21),B21,D21)))</f>
        <v>0.65</v>
      </c>
      <c r="O21" s="217">
        <f>SUM(AZ21+BE21+BJ21+BO21)</f>
        <v>994481.01929965313</v>
      </c>
      <c r="P21" s="493">
        <f>SUM(IF((6*(IF(ISBLANK(E21),C21,E21)))+IF(ISBLANK(D21),B21,D21) &lt; 0, 0, (6*(IF(ISBLANK(E21),C21,E21)))+IF(ISBLANK(D21),B21,D21)))</f>
        <v>0.72</v>
      </c>
      <c r="Q21" s="493">
        <f>SUM(IF((7*(IF(ISBLANK(E21),C21,E21)))+IF(ISBLANK(D21),B21,D21) &lt; 0, 0, (7*(IF(ISBLANK(E21),C21,E21)))+IF(ISBLANK(D21),B21,D21)))</f>
        <v>0.79</v>
      </c>
      <c r="R21" s="493">
        <f>SUM(IF((8*(IF(ISBLANK(E21),C21,E21)))+IF(ISBLANK(D21),B21,D21) &lt; 0, 0, (8*(IF(ISBLANK(E21),C21,E21)))+IF(ISBLANK(D21),B21,D21)))</f>
        <v>0.8600000000000001</v>
      </c>
      <c r="S21" s="493">
        <f>SUM(IF((9*(IF(ISBLANK(E21),C21,E21)))+IF(ISBLANK(D21),B21,D21) &lt; 0, 0, (9*(IF(ISBLANK(E21),C21,E21)))+IF(ISBLANK(D21),B21,D21)))</f>
        <v>0.93000000000000016</v>
      </c>
      <c r="T21" s="218">
        <f>SUM(BU21+BZ21+CE21+CJ21)</f>
        <v>9471631.6668594703</v>
      </c>
      <c r="U21" s="247"/>
      <c r="V21" s="213">
        <f>SUM(IF((11*(IF(ISBLANK(E21),C21,E21)))+IF(ISBLANK(D21),B21,D21) &lt; 0, 0, (11*(IF(ISBLANK(E21),C21,E21)))+IF(ISBLANK(D21),B21,D21)))*12</f>
        <v>12.84</v>
      </c>
      <c r="W21" s="219">
        <f>SUM(IF((13*(IF(ISBLANK(E21),C21,E21)))+IF(ISBLANK(D21),B21,D21) &lt; 0, 0, (13*(IF(ISBLANK(E21),C21,E21)))+IF(ISBLANK(D21),B21,D21)))*12</f>
        <v>14.520000000000003</v>
      </c>
      <c r="X21" s="220">
        <f>SUM(IF((15*(IF(ISBLANK(E21),C21,E21)))+IF(ISBLANK(D21),B21,D21) &lt; 0, 0, (15*(IF(ISBLANK(E21),C21,E21)))+IF(ISBLANK(D21),B21,D21)))*12</f>
        <v>16.200000000000003</v>
      </c>
      <c r="Y21" s="221"/>
      <c r="Z21" s="578">
        <v>0</v>
      </c>
      <c r="AA21" s="617"/>
      <c r="AB21" s="532">
        <f>SUM(AB18*F21)</f>
        <v>0</v>
      </c>
      <c r="AC21" s="492">
        <f>SUM(AC18*F21)</f>
        <v>0</v>
      </c>
      <c r="AD21" s="492">
        <f>SUM(AD18*F21)</f>
        <v>0</v>
      </c>
      <c r="AE21" s="492">
        <f t="shared" ref="AE21:AE29" si="70">SUM(AB21:AD21)</f>
        <v>0</v>
      </c>
      <c r="AF21" s="222"/>
      <c r="AG21" s="532">
        <f>SUM(AG18*G21)</f>
        <v>0</v>
      </c>
      <c r="AH21" s="492">
        <f>SUM(AH18*G21)</f>
        <v>0</v>
      </c>
      <c r="AI21" s="492">
        <f>SUM(AI18*G21)</f>
        <v>0</v>
      </c>
      <c r="AJ21" s="492">
        <f t="shared" ref="AJ21:AJ29" si="71">SUM(AG21:AI21)</f>
        <v>0</v>
      </c>
      <c r="AK21" s="222"/>
      <c r="AL21" s="532">
        <f t="shared" ref="AL21:AL28" si="72">SUM(AL18*H21)</f>
        <v>3666.086194365404</v>
      </c>
      <c r="AM21" s="492">
        <f t="shared" ref="AM21:AM28" si="73">SUM(AM18*H21)</f>
        <v>5945.0059846644208</v>
      </c>
      <c r="AN21" s="492">
        <f t="shared" ref="AN21:AN28" si="74">SUM(AN18*H21)</f>
        <v>8382.8202058607349</v>
      </c>
      <c r="AO21" s="492">
        <f t="shared" ref="AO21:AO29" si="75">SUM(AL21:AN21)</f>
        <v>17993.912384890558</v>
      </c>
      <c r="AP21" s="222"/>
      <c r="AQ21" s="532">
        <f>SUM(AQ18*I21)</f>
        <v>13531.826976108823</v>
      </c>
      <c r="AR21" s="492">
        <f>SUM(AR18*I21)</f>
        <v>16867.652568842143</v>
      </c>
      <c r="AS21" s="492">
        <f>SUM(AS18*I21)</f>
        <v>20352.675667661533</v>
      </c>
      <c r="AT21" s="492">
        <f t="shared" ref="AT21:AT29" si="76">SUM(AQ21:AS21)</f>
        <v>50752.155212612503</v>
      </c>
      <c r="AU21" s="222"/>
      <c r="AV21" s="617"/>
      <c r="AW21" s="532">
        <f>SUM(AW18*K21)</f>
        <v>28510.27031895312</v>
      </c>
      <c r="AX21" s="492">
        <f>SUM(AX18*K21)</f>
        <v>32911.967817588004</v>
      </c>
      <c r="AY21" s="492">
        <f>SUM(AY18*K21)</f>
        <v>37410.352543572917</v>
      </c>
      <c r="AZ21" s="492">
        <f t="shared" ref="AZ21:AZ29" si="77">SUM(AW21:AY21)</f>
        <v>98832.590680114052</v>
      </c>
      <c r="BA21" s="222"/>
      <c r="BB21" s="532">
        <f>SUM(BB18*L21)</f>
        <v>49805.401640266115</v>
      </c>
      <c r="BC21" s="492">
        <f>SUM(BC18*L21)</f>
        <v>56267.861853439092</v>
      </c>
      <c r="BD21" s="492">
        <f>SUM(BD18*L21)</f>
        <v>62749.436548203739</v>
      </c>
      <c r="BE21" s="492">
        <f t="shared" ref="BE21:BE29" si="78">SUM(BB21:BD21)</f>
        <v>168822.70004190895</v>
      </c>
      <c r="BF21" s="222"/>
      <c r="BG21" s="532">
        <f>SUM(BG18*M21)</f>
        <v>81204.465933517145</v>
      </c>
      <c r="BH21" s="492">
        <f>SUM(BH18*M21)</f>
        <v>91105.340820162412</v>
      </c>
      <c r="BI21" s="492">
        <f>SUM(BI18*M21)</f>
        <v>101065.07683352007</v>
      </c>
      <c r="BJ21" s="492">
        <f t="shared" ref="BJ21:BJ29" si="79">SUM(BG21:BI21)</f>
        <v>273374.88358719961</v>
      </c>
      <c r="BK21" s="222"/>
      <c r="BL21" s="532">
        <f>SUM(BL18*N21)</f>
        <v>132019.0802348232</v>
      </c>
      <c r="BM21" s="492">
        <f>SUM(BM18*N21)</f>
        <v>151055.55997437856</v>
      </c>
      <c r="BN21" s="492">
        <f>SUM(BN18*N21)</f>
        <v>170376.20478122879</v>
      </c>
      <c r="BO21" s="492">
        <f t="shared" ref="BO21:BO29" si="80">SUM(BL21:BN21)</f>
        <v>453450.84499043052</v>
      </c>
      <c r="BP21" s="222"/>
      <c r="BQ21" s="221"/>
      <c r="BR21" s="532">
        <f>SUM(BR18*P21)</f>
        <v>223671.89103317776</v>
      </c>
      <c r="BS21" s="492">
        <f>SUM(BS18*P21)</f>
        <v>259454.56812946909</v>
      </c>
      <c r="BT21" s="492">
        <f>SUM(BT18*P21)</f>
        <v>296092.40283022739</v>
      </c>
      <c r="BU21" s="492">
        <f t="shared" ref="BU21:BU29" si="81">SUM(BR21:BT21)</f>
        <v>779218.86199287418</v>
      </c>
      <c r="BV21" s="222"/>
      <c r="BW21" s="532">
        <f>SUM(BW18*Q21)</f>
        <v>391111.20392141311</v>
      </c>
      <c r="BX21" s="492">
        <f>SUM(BX18*Q21)</f>
        <v>459519.18632545683</v>
      </c>
      <c r="BY21" s="492">
        <f>SUM(BY18*Q21)</f>
        <v>530174.59838042897</v>
      </c>
      <c r="BZ21" s="492">
        <f t="shared" ref="BZ21:BZ29" si="82">SUM(BW21:BY21)</f>
        <v>1380804.988627299</v>
      </c>
      <c r="CA21" s="222"/>
      <c r="CB21" s="532">
        <f>SUM(CB18*R21)</f>
        <v>706196.4139810357</v>
      </c>
      <c r="CC21" s="492">
        <f>SUM(CC18*R21)</f>
        <v>840632.30477463733</v>
      </c>
      <c r="CD21" s="492">
        <f>SUM(CD18*R21)</f>
        <v>980685.03082776396</v>
      </c>
      <c r="CE21" s="492">
        <f t="shared" ref="CE21:CE29" si="83">SUM(CB21:CD21)</f>
        <v>2527513.7495834371</v>
      </c>
      <c r="CF21" s="222"/>
      <c r="CG21" s="532">
        <f>SUM(CG18*S21)</f>
        <v>1318769.9968066826</v>
      </c>
      <c r="CH21" s="492">
        <f>SUM(CH18*S21)</f>
        <v>1590115.7431348311</v>
      </c>
      <c r="CI21" s="492">
        <f>SUM(CI18*S21)</f>
        <v>1875208.3267143478</v>
      </c>
      <c r="CJ21" s="492">
        <f t="shared" ref="CJ21:CJ29" si="84">SUM(CG21:CI21)</f>
        <v>4784094.0666558612</v>
      </c>
      <c r="CK21" s="222"/>
      <c r="CL21" s="55"/>
      <c r="CM21" s="55"/>
      <c r="CN21" s="55"/>
      <c r="CO21" s="55"/>
      <c r="CP21" s="55"/>
      <c r="CQ21" s="55"/>
      <c r="CR21" s="55"/>
      <c r="CS21" s="55"/>
      <c r="CT21" s="55"/>
      <c r="CU21" s="55"/>
      <c r="CV21" s="55"/>
      <c r="CW21" s="55"/>
      <c r="CX21" s="55"/>
      <c r="CY21" s="55"/>
      <c r="CZ21" s="55"/>
      <c r="DA21" s="55"/>
      <c r="DB21" s="55"/>
      <c r="DC21" s="55"/>
      <c r="DD21" s="55"/>
      <c r="DE21" s="55"/>
      <c r="DF21" s="55"/>
      <c r="DG21" s="55"/>
      <c r="DH21" s="55"/>
      <c r="DI21" s="55"/>
      <c r="DJ21" s="55"/>
      <c r="DK21" s="55"/>
      <c r="DL21" s="55"/>
      <c r="DM21" s="55"/>
      <c r="DN21" s="55"/>
      <c r="DO21" s="55"/>
      <c r="DP21" s="55"/>
      <c r="DQ21" s="55"/>
      <c r="DR21" s="55"/>
      <c r="DS21" s="55"/>
      <c r="DT21" s="55"/>
      <c r="DU21" s="55"/>
      <c r="DV21" s="55"/>
      <c r="DW21" s="55"/>
      <c r="DX21" s="55"/>
      <c r="DY21" s="55"/>
      <c r="DZ21" s="55"/>
      <c r="EA21" s="55"/>
      <c r="EB21" s="55"/>
      <c r="EC21" s="55"/>
      <c r="ED21" s="55"/>
      <c r="EE21" s="55"/>
      <c r="EF21" s="55"/>
      <c r="EG21" s="55"/>
      <c r="EH21" s="55"/>
      <c r="EI21" s="55"/>
      <c r="EJ21" s="55"/>
      <c r="EK21" s="55"/>
      <c r="EL21" s="55"/>
      <c r="EM21" s="55"/>
      <c r="EN21" s="55"/>
      <c r="EO21" s="55"/>
      <c r="EP21" s="55"/>
      <c r="EQ21" s="55"/>
      <c r="ER21" s="55"/>
      <c r="ES21" s="55"/>
      <c r="ET21" s="55"/>
      <c r="EU21" s="55"/>
      <c r="EV21" s="55"/>
      <c r="EW21" s="55"/>
      <c r="EX21" s="55"/>
      <c r="EY21" s="55"/>
      <c r="EZ21" s="55"/>
      <c r="FA21" s="55"/>
      <c r="FB21" s="55"/>
      <c r="FC21" s="55"/>
      <c r="FD21" s="55"/>
      <c r="FE21" s="55"/>
      <c r="FF21" s="55"/>
      <c r="FG21" s="55"/>
      <c r="FH21" s="55"/>
      <c r="FI21" s="55"/>
      <c r="FJ21" s="55"/>
      <c r="FK21" s="55"/>
      <c r="FL21" s="55"/>
      <c r="FM21" s="55"/>
      <c r="FN21" s="55"/>
      <c r="FO21" s="55"/>
      <c r="FP21" s="55"/>
      <c r="FQ21" s="55"/>
      <c r="FR21" s="55"/>
      <c r="FS21" s="55"/>
      <c r="FT21" s="55"/>
      <c r="FU21" s="55"/>
      <c r="FV21" s="55"/>
      <c r="FW21" s="55"/>
    </row>
    <row r="22" spans="1:179" s="57" customFormat="1" ht="9.75" customHeight="1" x14ac:dyDescent="0.15">
      <c r="A22" s="468" t="s">
        <v>145</v>
      </c>
      <c r="B22" s="213">
        <v>0.27</v>
      </c>
      <c r="C22" s="214">
        <v>7.0000000000000007E-2</v>
      </c>
      <c r="D22" s="224"/>
      <c r="E22" s="225"/>
      <c r="F22" s="215">
        <v>0</v>
      </c>
      <c r="G22" s="216">
        <v>0</v>
      </c>
      <c r="H22" s="493">
        <f t="shared" ref="H22" si="85">SUM(IF(ISBLANK(D22),B22,D22))</f>
        <v>0.27</v>
      </c>
      <c r="I22" s="493">
        <f t="shared" ref="I22" si="86">SUM(IF((1*(IF(ISBLANK(E22),C22,E22)))+IF(ISBLANK(D22),B22,D22) &lt; 0, 0, (1*(IF(ISBLANK(E22),C22,E22)))+IF(ISBLANK(D22),B22,D22)))</f>
        <v>0.34</v>
      </c>
      <c r="J22" s="217">
        <f>SUM(AE22+AJ22+AO22+AT22)</f>
        <v>46637.115600779056</v>
      </c>
      <c r="K22" s="493">
        <f t="shared" ref="K22" si="87">SUM(IF((2*(IF(ISBLANK(E22),C22,E22)))+IF(ISBLANK(D22),B22,D22) &lt; 0, 0, (2*(IF(ISBLANK(E22),C22,E22)))+IF(ISBLANK(D22),B22,D22)))</f>
        <v>0.41000000000000003</v>
      </c>
      <c r="L22" s="493">
        <f t="shared" ref="L22" si="88">SUM(IF((3*(IF(ISBLANK(E22),C22,E22)))+IF(ISBLANK(D22),B22,D22) &lt; 0, 0, (3*(IF(ISBLANK(E22),C22,E22)))+IF(ISBLANK(D22),B22,D22)))</f>
        <v>0.48000000000000004</v>
      </c>
      <c r="M22" s="493">
        <f t="shared" ref="M22" si="89">SUM(IF((4*(IF(ISBLANK(E22),C22,E22)))+IF(ISBLANK(D22),B22,D22) &lt; 0, 0, (4*(IF(ISBLANK(E22),C22,E22)))+IF(ISBLANK(D22),B22,D22)))</f>
        <v>0.55000000000000004</v>
      </c>
      <c r="N22" s="493">
        <f t="shared" ref="N22" si="90">SUM(IF((5*(IF(ISBLANK(E22),C22,E22)))+IF(ISBLANK(D22),B22,D22) &lt; 0, 0, (5*(IF(ISBLANK(E22),C22,E22)))+IF(ISBLANK(D22),B22,D22)))</f>
        <v>0.62000000000000011</v>
      </c>
      <c r="O22" s="217">
        <f t="shared" ref="O22:O29" si="91">SUM(AZ22+BE22+BJ22+BO22)</f>
        <v>942743.10578661016</v>
      </c>
      <c r="P22" s="493">
        <f t="shared" ref="P22" si="92">SUM(IF((6*(IF(ISBLANK(E22),C22,E22)))+IF(ISBLANK(D22),B22,D22) &lt; 0, 0, (6*(IF(ISBLANK(E22),C22,E22)))+IF(ISBLANK(D22),B22,D22)))</f>
        <v>0.69000000000000006</v>
      </c>
      <c r="Q22" s="493">
        <f t="shared" ref="Q22" si="93">SUM(IF((7*(IF(ISBLANK(E22),C22,E22)))+IF(ISBLANK(D22),B22,D22) &lt; 0, 0, (7*(IF(ISBLANK(E22),C22,E22)))+IF(ISBLANK(D22),B22,D22)))</f>
        <v>0.76</v>
      </c>
      <c r="R22" s="493">
        <f t="shared" ref="R22" si="94">SUM(IF((8*(IF(ISBLANK(E22),C22,E22)))+IF(ISBLANK(D22),B22,D22) &lt; 0, 0, (8*(IF(ISBLANK(E22),C22,E22)))+IF(ISBLANK(D22),B22,D22)))</f>
        <v>0.83000000000000007</v>
      </c>
      <c r="S22" s="493">
        <f t="shared" ref="S22" si="95">SUM(IF((9*(IF(ISBLANK(E22),C22,E22)))+IF(ISBLANK(D22),B22,D22) &lt; 0, 0, (9*(IF(ISBLANK(E22),C22,E22)))+IF(ISBLANK(D22),B22,D22)))</f>
        <v>0.90000000000000013</v>
      </c>
      <c r="T22" s="218">
        <f t="shared" ref="T22:T29" si="96">SUM(BU22+BZ22+CE22+CJ22)</f>
        <v>9144233.8824557085</v>
      </c>
      <c r="U22" s="247"/>
      <c r="V22" s="213">
        <f>SUM(IF((11*(IF(ISBLANK(E22),C22,E22)))+IF(ISBLANK(D22),B22,D22) &lt; 0, 0, (11*(IF(ISBLANK(E22),C22,E22)))+IF(ISBLANK(D22),B22,D22)))*12</f>
        <v>12.48</v>
      </c>
      <c r="W22" s="219">
        <f>SUM(IF((13*(IF(ISBLANK(E22),C22,E22)))+IF(ISBLANK(D22),B22,D22) &lt; 0, 0, (13*(IF(ISBLANK(E22),C22,E22)))+IF(ISBLANK(D22),B22,D22)))*12</f>
        <v>14.160000000000002</v>
      </c>
      <c r="X22" s="220">
        <f>SUM(IF((15*(IF(ISBLANK(E22),C22,E22)))+IF(ISBLANK(D22),B22,D22) &lt; 0, 0, (15*(IF(ISBLANK(E22),C22,E22)))+IF(ISBLANK(D22),B22,D22)))*12</f>
        <v>15.84</v>
      </c>
      <c r="Y22" s="221"/>
      <c r="Z22" s="578">
        <v>0</v>
      </c>
      <c r="AA22" s="617"/>
      <c r="AB22" s="532">
        <f>SUM(AB18*F22)</f>
        <v>0</v>
      </c>
      <c r="AC22" s="492">
        <f>SUM(AC18*F22)</f>
        <v>0</v>
      </c>
      <c r="AD22" s="492">
        <f>SUM(AD18*F22)</f>
        <v>0</v>
      </c>
      <c r="AE22" s="492">
        <f t="shared" si="70"/>
        <v>0</v>
      </c>
      <c r="AF22" s="222"/>
      <c r="AG22" s="532">
        <f>SUM(AG18*G22)</f>
        <v>0</v>
      </c>
      <c r="AH22" s="492">
        <f>SUM(AH18*G22)</f>
        <v>0</v>
      </c>
      <c r="AI22" s="492">
        <f>SUM(AI18*G22)</f>
        <v>0</v>
      </c>
      <c r="AJ22" s="492">
        <f t="shared" si="71"/>
        <v>0</v>
      </c>
      <c r="AK22" s="222"/>
      <c r="AL22" s="532">
        <f t="shared" si="72"/>
        <v>0</v>
      </c>
      <c r="AM22" s="492">
        <f t="shared" si="73"/>
        <v>0</v>
      </c>
      <c r="AN22" s="492">
        <f t="shared" si="74"/>
        <v>0</v>
      </c>
      <c r="AO22" s="492">
        <f t="shared" si="75"/>
        <v>0</v>
      </c>
      <c r="AP22" s="222"/>
      <c r="AQ22" s="532">
        <f>SUM(AQ18*I22)</f>
        <v>12434.651815883784</v>
      </c>
      <c r="AR22" s="492">
        <f>SUM(AR18*I22)</f>
        <v>15500.005063260351</v>
      </c>
      <c r="AS22" s="492">
        <f>SUM(AS18*I22)</f>
        <v>18702.458721634925</v>
      </c>
      <c r="AT22" s="492">
        <f t="shared" si="76"/>
        <v>46637.115600779056</v>
      </c>
      <c r="AU22" s="222"/>
      <c r="AV22" s="617"/>
      <c r="AW22" s="532">
        <f>SUM(AW18*K22)</f>
        <v>26566.38825175177</v>
      </c>
      <c r="AX22" s="492">
        <f>SUM(AX18*K22)</f>
        <v>30667.970011843368</v>
      </c>
      <c r="AY22" s="492">
        <f>SUM(AY18*K22)</f>
        <v>34859.646688329311</v>
      </c>
      <c r="AZ22" s="492">
        <f t="shared" si="77"/>
        <v>92094.004951924449</v>
      </c>
      <c r="BA22" s="222"/>
      <c r="BB22" s="532">
        <f>SUM(BB18*L22)</f>
        <v>46875.67213201517</v>
      </c>
      <c r="BC22" s="492">
        <f>SUM(BC18*L22)</f>
        <v>52957.987626766211</v>
      </c>
      <c r="BD22" s="492">
        <f>SUM(BD18*L22)</f>
        <v>59058.293221838816</v>
      </c>
      <c r="BE22" s="492">
        <f t="shared" si="78"/>
        <v>158891.9529806202</v>
      </c>
      <c r="BF22" s="222"/>
      <c r="BG22" s="532">
        <f>SUM(BG18*M22)</f>
        <v>77004.234936955909</v>
      </c>
      <c r="BH22" s="492">
        <f>SUM(BH18*M22)</f>
        <v>86392.995605326418</v>
      </c>
      <c r="BI22" s="492">
        <f>SUM(BI18*M22)</f>
        <v>95837.572859372478</v>
      </c>
      <c r="BJ22" s="492">
        <f t="shared" si="79"/>
        <v>259234.80340165482</v>
      </c>
      <c r="BK22" s="222"/>
      <c r="BL22" s="532">
        <f>SUM(BL18*N22)</f>
        <v>125925.89191629289</v>
      </c>
      <c r="BM22" s="492">
        <f>SUM(BM18*N22)</f>
        <v>144083.76489863804</v>
      </c>
      <c r="BN22" s="492">
        <f>SUM(BN18*N22)</f>
        <v>162512.68763747977</v>
      </c>
      <c r="BO22" s="492">
        <f t="shared" si="80"/>
        <v>432522.3444524107</v>
      </c>
      <c r="BP22" s="222"/>
      <c r="BQ22" s="221"/>
      <c r="BR22" s="532">
        <f>SUM(BR18*P22)</f>
        <v>214352.22890679538</v>
      </c>
      <c r="BS22" s="492">
        <f>SUM(BS18*P22)</f>
        <v>248643.96112407456</v>
      </c>
      <c r="BT22" s="492">
        <f>SUM(BT18*P22)</f>
        <v>283755.21937896794</v>
      </c>
      <c r="BU22" s="492">
        <f t="shared" si="81"/>
        <v>746751.4094098378</v>
      </c>
      <c r="BV22" s="222"/>
      <c r="BW22" s="532">
        <f>SUM(BW18*Q22)</f>
        <v>376258.87972186576</v>
      </c>
      <c r="BX22" s="492">
        <f>SUM(BX18*Q22)</f>
        <v>442069.09064221161</v>
      </c>
      <c r="BY22" s="492">
        <f>SUM(BY18*Q22)</f>
        <v>510041.38578370388</v>
      </c>
      <c r="BZ22" s="492">
        <f t="shared" si="82"/>
        <v>1328369.3561477812</v>
      </c>
      <c r="CA22" s="222"/>
      <c r="CB22" s="532">
        <f>SUM(CB18*R22)</f>
        <v>681561.65535379027</v>
      </c>
      <c r="CC22" s="492">
        <f>SUM(CC18*R22)</f>
        <v>811307.92204994068</v>
      </c>
      <c r="CD22" s="492">
        <f>SUM(CD18*R22)</f>
        <v>946475.08789191174</v>
      </c>
      <c r="CE22" s="492">
        <f t="shared" si="83"/>
        <v>2439344.6652956428</v>
      </c>
      <c r="CF22" s="222"/>
      <c r="CG22" s="532">
        <f>SUM(CG18*S22)</f>
        <v>1276229.0291677574</v>
      </c>
      <c r="CH22" s="492">
        <f>SUM(CH18*S22)</f>
        <v>1538821.6869046751</v>
      </c>
      <c r="CI22" s="492">
        <f>SUM(CI18*S22)</f>
        <v>1814717.7355300139</v>
      </c>
      <c r="CJ22" s="492">
        <f t="shared" si="84"/>
        <v>4629768.4516024468</v>
      </c>
      <c r="CK22" s="222"/>
      <c r="CL22" s="55"/>
      <c r="CM22" s="55"/>
      <c r="CN22" s="55"/>
      <c r="CO22" s="55"/>
      <c r="CP22" s="55"/>
      <c r="CQ22" s="55"/>
      <c r="CR22" s="55"/>
      <c r="CS22" s="55"/>
      <c r="CT22" s="55"/>
      <c r="CU22" s="55"/>
      <c r="CV22" s="55"/>
      <c r="CW22" s="55"/>
      <c r="CX22" s="55"/>
      <c r="CY22" s="55"/>
      <c r="CZ22" s="55"/>
      <c r="DA22" s="55"/>
      <c r="DB22" s="55"/>
      <c r="DC22" s="55"/>
      <c r="DD22" s="55"/>
      <c r="DE22" s="55"/>
      <c r="DF22" s="55"/>
      <c r="DG22" s="55"/>
      <c r="DH22" s="55"/>
      <c r="DI22" s="55"/>
      <c r="DJ22" s="55"/>
      <c r="DK22" s="55"/>
      <c r="DL22" s="55"/>
      <c r="DM22" s="55"/>
      <c r="DN22" s="55"/>
      <c r="DO22" s="55"/>
      <c r="DP22" s="55"/>
      <c r="DQ22" s="55"/>
      <c r="DR22" s="55"/>
      <c r="DS22" s="55"/>
      <c r="DT22" s="55"/>
      <c r="DU22" s="55"/>
      <c r="DV22" s="55"/>
      <c r="DW22" s="55"/>
      <c r="DX22" s="55"/>
      <c r="DY22" s="55"/>
      <c r="DZ22" s="55"/>
      <c r="EA22" s="55"/>
      <c r="EB22" s="55"/>
      <c r="EC22" s="55"/>
      <c r="ED22" s="55"/>
      <c r="EE22" s="55"/>
      <c r="EF22" s="55"/>
      <c r="EG22" s="55"/>
      <c r="EH22" s="55"/>
      <c r="EI22" s="55"/>
      <c r="EJ22" s="55"/>
      <c r="EK22" s="55"/>
      <c r="EL22" s="55"/>
      <c r="EM22" s="55"/>
      <c r="EN22" s="55"/>
      <c r="EO22" s="55"/>
      <c r="EP22" s="55"/>
      <c r="EQ22" s="55"/>
      <c r="ER22" s="55"/>
      <c r="ES22" s="55"/>
      <c r="ET22" s="55"/>
      <c r="EU22" s="55"/>
      <c r="EV22" s="55"/>
      <c r="EW22" s="55"/>
      <c r="EX22" s="55"/>
      <c r="EY22" s="55"/>
      <c r="EZ22" s="55"/>
      <c r="FA22" s="55"/>
      <c r="FB22" s="55"/>
      <c r="FC22" s="55"/>
      <c r="FD22" s="55"/>
      <c r="FE22" s="55"/>
      <c r="FF22" s="55"/>
      <c r="FG22" s="55"/>
      <c r="FH22" s="55"/>
      <c r="FI22" s="55"/>
      <c r="FJ22" s="55"/>
      <c r="FK22" s="55"/>
      <c r="FL22" s="55"/>
      <c r="FM22" s="55"/>
      <c r="FN22" s="55"/>
      <c r="FO22" s="55"/>
      <c r="FP22" s="55"/>
      <c r="FQ22" s="55"/>
      <c r="FR22" s="55"/>
      <c r="FS22" s="55"/>
      <c r="FT22" s="55"/>
      <c r="FU22" s="55"/>
      <c r="FV22" s="55"/>
      <c r="FW22" s="55"/>
    </row>
    <row r="23" spans="1:179" s="57" customFormat="1" ht="9.75" customHeight="1" x14ac:dyDescent="0.15">
      <c r="A23" s="468" t="s">
        <v>146</v>
      </c>
      <c r="B23" s="213">
        <v>0.02</v>
      </c>
      <c r="C23" s="214">
        <v>7.0000000000000007E-2</v>
      </c>
      <c r="D23" s="224"/>
      <c r="E23" s="225"/>
      <c r="F23" s="215">
        <v>0</v>
      </c>
      <c r="G23" s="216">
        <v>0</v>
      </c>
      <c r="H23" s="223">
        <v>0</v>
      </c>
      <c r="I23" s="223">
        <v>0</v>
      </c>
      <c r="J23" s="217">
        <f t="shared" ref="J23:J29" si="97">SUM(AE23+AJ23+AO23+AT23)</f>
        <v>0</v>
      </c>
      <c r="K23" s="493">
        <f>SUM(IF((0*(IF(ISBLANK(E23),C23,E23)))+IF(ISBLANK(D23),B23,D23) &lt; 0, 0, (0*(IF(ISBLANK(E23),C23,E23)))+IF(ISBLANK(D23),B23,D23)))</f>
        <v>0.02</v>
      </c>
      <c r="L23" s="493">
        <f>SUM(IF((1*(IF(ISBLANK(E23),C23,E23)))+IF(ISBLANK(D23),B23,D23) &lt; 0, 0, (1*(IF(ISBLANK(E23),C23,E23)))+IF(ISBLANK(D23),B23,D23)))</f>
        <v>9.0000000000000011E-2</v>
      </c>
      <c r="M23" s="493">
        <f>SUM(IF((2*(IF(ISBLANK(E23),C23,E23)))+IF(ISBLANK(D23),B23,D23) &lt; 0, 0, (2*(IF(ISBLANK(E23),C23,E23)))+IF(ISBLANK(D23),B23,D23)))</f>
        <v>0.16</v>
      </c>
      <c r="N23" s="493">
        <f>SUM(IF((3*(IF(ISBLANK(E23),C23,E23)))+IF(ISBLANK(D23),B23,D23) &lt; 0, 0, (3*(IF(ISBLANK(E23),C23,E23)))+IF(ISBLANK(D23),B23,D23)))</f>
        <v>0.23</v>
      </c>
      <c r="O23" s="217">
        <f t="shared" si="91"/>
        <v>270150.2301170507</v>
      </c>
      <c r="P23" s="493">
        <f>SUM(IF((4*(IF(ISBLANK(E23),C23,E23)))+IF(ISBLANK(D23),B23,D23) &lt; 0, 0, (4*(IF(ISBLANK(E23),C23,E23)))+IF(ISBLANK(D23),B23,D23)))</f>
        <v>0.30000000000000004</v>
      </c>
      <c r="Q23" s="493">
        <f>SUM(IF((5*(IF(ISBLANK(E23),C23,E23)))+IF(ISBLANK(D23),B23,D23) &lt; 0, 0, (5*(IF(ISBLANK(E23),C23,E23)))+IF(ISBLANK(D23),B23,D23)))</f>
        <v>0.37000000000000005</v>
      </c>
      <c r="R23" s="493">
        <f>SUM(IF((6*(IF(ISBLANK(E23),C23,E23)))+IF(ISBLANK(D23),B23,D23) &lt; 0, 0, (6*(IF(ISBLANK(E23),C23,E23)))+IF(ISBLANK(D23),B23,D23)))</f>
        <v>0.44000000000000006</v>
      </c>
      <c r="S23" s="493">
        <f>SUM(IF((7*(IF(ISBLANK(E23),C23,E23)))+IF(ISBLANK(D23),B23,D23) &lt; 0, 0, (7*(IF(ISBLANK(E23),C23,E23)))+IF(ISBLANK(D23),B23,D23)))</f>
        <v>0.51</v>
      </c>
      <c r="T23" s="218">
        <f t="shared" si="96"/>
        <v>4888062.6852067849</v>
      </c>
      <c r="U23" s="247"/>
      <c r="V23" s="213">
        <f>SUM(IF((9*(IF(ISBLANK(E23),C23,E23)))+IF(ISBLANK(D23),B23,D23) &lt; 0, 0, (9*(IF(ISBLANK(E23),C23,E23)))+IF(ISBLANK(D23),B23,D23)))*12</f>
        <v>7.8000000000000016</v>
      </c>
      <c r="W23" s="219">
        <f>SUM(IF((11*(IF(ISBLANK(E23),C23,E23)))+IF(ISBLANK(D23),B23,D23) &lt; 0, 0, (11*(IF(ISBLANK(E23),C23,E23)))+IF(ISBLANK(D23),B23,D23)))*12</f>
        <v>9.48</v>
      </c>
      <c r="X23" s="220">
        <f>SUM(IF((13*(IF(ISBLANK(E23),C23,E23)))+IF(ISBLANK(D23),B23,D23) &lt; 0, 0, (13*(IF(ISBLANK(E23),C23,E23)))+IF(ISBLANK(D23),B23,D23)))*12</f>
        <v>11.160000000000002</v>
      </c>
      <c r="Y23" s="221"/>
      <c r="Z23" s="578">
        <v>0</v>
      </c>
      <c r="AA23" s="617"/>
      <c r="AB23" s="532">
        <f>SUM(AB18*F23)</f>
        <v>0</v>
      </c>
      <c r="AC23" s="492">
        <f>SUM(AC18*F23)</f>
        <v>0</v>
      </c>
      <c r="AD23" s="492">
        <f>SUM(AD18*F23)</f>
        <v>0</v>
      </c>
      <c r="AE23" s="492">
        <f t="shared" si="70"/>
        <v>0</v>
      </c>
      <c r="AF23" s="222"/>
      <c r="AG23" s="532">
        <f>SUM(AG18*G23)</f>
        <v>0</v>
      </c>
      <c r="AH23" s="492">
        <f>SUM(AH18*G23)</f>
        <v>0</v>
      </c>
      <c r="AI23" s="492">
        <f>SUM(AI18*G23)</f>
        <v>0</v>
      </c>
      <c r="AJ23" s="492">
        <f t="shared" si="71"/>
        <v>0</v>
      </c>
      <c r="AK23" s="222"/>
      <c r="AL23" s="532">
        <f t="shared" si="72"/>
        <v>0</v>
      </c>
      <c r="AM23" s="492">
        <f t="shared" si="73"/>
        <v>0</v>
      </c>
      <c r="AN23" s="492">
        <f t="shared" si="74"/>
        <v>0</v>
      </c>
      <c r="AO23" s="492">
        <f t="shared" si="75"/>
        <v>0</v>
      </c>
      <c r="AP23" s="222"/>
      <c r="AQ23" s="532">
        <f>SUM(AQ18*I23)</f>
        <v>0</v>
      </c>
      <c r="AR23" s="492">
        <f>SUM(AR18*I23)</f>
        <v>0</v>
      </c>
      <c r="AS23" s="492">
        <f>SUM(AS18*I23)</f>
        <v>0</v>
      </c>
      <c r="AT23" s="492">
        <f t="shared" si="76"/>
        <v>0</v>
      </c>
      <c r="AU23" s="222"/>
      <c r="AV23" s="617"/>
      <c r="AW23" s="532">
        <f>SUM(AW18*K23)</f>
        <v>1295.9213781342328</v>
      </c>
      <c r="AX23" s="492">
        <f>SUM(AX18*K23)</f>
        <v>1495.998537163091</v>
      </c>
      <c r="AY23" s="492">
        <f>SUM(AY18*K23)</f>
        <v>1700.4705701624052</v>
      </c>
      <c r="AZ23" s="492">
        <f t="shared" si="77"/>
        <v>4492.3904854597295</v>
      </c>
      <c r="BA23" s="222"/>
      <c r="BB23" s="532">
        <f>SUM(BB18*L23)</f>
        <v>8789.1885247528444</v>
      </c>
      <c r="BC23" s="492">
        <f>SUM(BC18*L23)</f>
        <v>9929.6226800186651</v>
      </c>
      <c r="BD23" s="492">
        <f>SUM(BD18*L23)</f>
        <v>11073.429979094779</v>
      </c>
      <c r="BE23" s="492">
        <f t="shared" si="78"/>
        <v>29792.241183866288</v>
      </c>
      <c r="BF23" s="222"/>
      <c r="BG23" s="532">
        <f>SUM(BG18*M23)</f>
        <v>22401.231981659901</v>
      </c>
      <c r="BH23" s="492">
        <f>SUM(BH18*M23)</f>
        <v>25132.507812458593</v>
      </c>
      <c r="BI23" s="492">
        <f>SUM(BI18*M23)</f>
        <v>27880.02119545381</v>
      </c>
      <c r="BJ23" s="492">
        <f t="shared" si="79"/>
        <v>75413.7609895723</v>
      </c>
      <c r="BK23" s="222"/>
      <c r="BL23" s="532">
        <f>SUM(BL18*N23)</f>
        <v>46714.44377539897</v>
      </c>
      <c r="BM23" s="492">
        <f>SUM(BM18*N23)</f>
        <v>53450.428914010874</v>
      </c>
      <c r="BN23" s="492">
        <f>SUM(BN18*N23)</f>
        <v>60286.964768742495</v>
      </c>
      <c r="BO23" s="492">
        <f t="shared" si="80"/>
        <v>160451.83745815235</v>
      </c>
      <c r="BP23" s="222"/>
      <c r="BQ23" s="221"/>
      <c r="BR23" s="532">
        <f>SUM(BR18*P23)</f>
        <v>93196.621263824083</v>
      </c>
      <c r="BS23" s="492">
        <f>SUM(BS18*P23)</f>
        <v>108106.07005394547</v>
      </c>
      <c r="BT23" s="492">
        <f>SUM(BT18*P23)</f>
        <v>123371.83451259477</v>
      </c>
      <c r="BU23" s="492">
        <f t="shared" si="81"/>
        <v>324674.52583036432</v>
      </c>
      <c r="BV23" s="222"/>
      <c r="BW23" s="532">
        <f>SUM(BW18*Q23)</f>
        <v>183178.66512775046</v>
      </c>
      <c r="BX23" s="492">
        <f>SUM(BX18*Q23)</f>
        <v>215217.84676002408</v>
      </c>
      <c r="BY23" s="492">
        <f>SUM(BY18*Q23)</f>
        <v>248309.62202627692</v>
      </c>
      <c r="BZ23" s="492">
        <f t="shared" si="82"/>
        <v>646706.13391405146</v>
      </c>
      <c r="CA23" s="222"/>
      <c r="CB23" s="532">
        <f>SUM(CB18*R23)</f>
        <v>361309.79319959966</v>
      </c>
      <c r="CC23" s="492">
        <f>SUM(CC18*R23)</f>
        <v>430090.94662888424</v>
      </c>
      <c r="CD23" s="492">
        <f>SUM(CD18*R23)</f>
        <v>501745.82972583274</v>
      </c>
      <c r="CE23" s="492">
        <f t="shared" si="83"/>
        <v>1293146.5695543166</v>
      </c>
      <c r="CF23" s="222"/>
      <c r="CG23" s="532">
        <f>SUM(CG18*S23)</f>
        <v>723196.44986172905</v>
      </c>
      <c r="CH23" s="492">
        <f>SUM(CH18*S23)</f>
        <v>871998.95591264917</v>
      </c>
      <c r="CI23" s="492">
        <f>SUM(CI18*S23)</f>
        <v>1028340.0501336745</v>
      </c>
      <c r="CJ23" s="492">
        <f t="shared" si="84"/>
        <v>2623535.4559080526</v>
      </c>
      <c r="CK23" s="222"/>
      <c r="CL23" s="55"/>
      <c r="CM23" s="55"/>
      <c r="CN23" s="55"/>
      <c r="CO23" s="55"/>
      <c r="CP23" s="55"/>
      <c r="CQ23" s="55"/>
      <c r="CR23" s="55"/>
      <c r="CS23" s="55"/>
      <c r="CT23" s="55"/>
      <c r="CU23" s="55"/>
      <c r="CV23" s="55"/>
      <c r="CW23" s="55"/>
      <c r="CX23" s="55"/>
      <c r="CY23" s="55"/>
      <c r="CZ23" s="55"/>
      <c r="DA23" s="55"/>
      <c r="DB23" s="55"/>
      <c r="DC23" s="55"/>
      <c r="DD23" s="55"/>
      <c r="DE23" s="55"/>
      <c r="DF23" s="55"/>
      <c r="DG23" s="55"/>
      <c r="DH23" s="55"/>
      <c r="DI23" s="55"/>
      <c r="DJ23" s="55"/>
      <c r="DK23" s="55"/>
      <c r="DL23" s="55"/>
      <c r="DM23" s="55"/>
      <c r="DN23" s="55"/>
      <c r="DO23" s="55"/>
      <c r="DP23" s="55"/>
      <c r="DQ23" s="55"/>
      <c r="DR23" s="55"/>
      <c r="DS23" s="55"/>
      <c r="DT23" s="55"/>
      <c r="DU23" s="55"/>
      <c r="DV23" s="55"/>
      <c r="DW23" s="55"/>
      <c r="DX23" s="55"/>
      <c r="DY23" s="55"/>
      <c r="DZ23" s="55"/>
      <c r="EA23" s="55"/>
      <c r="EB23" s="55"/>
      <c r="EC23" s="55"/>
      <c r="ED23" s="55"/>
      <c r="EE23" s="55"/>
      <c r="EF23" s="55"/>
      <c r="EG23" s="55"/>
      <c r="EH23" s="55"/>
      <c r="EI23" s="55"/>
      <c r="EJ23" s="55"/>
      <c r="EK23" s="55"/>
      <c r="EL23" s="55"/>
      <c r="EM23" s="55"/>
      <c r="EN23" s="55"/>
      <c r="EO23" s="55"/>
      <c r="EP23" s="55"/>
      <c r="EQ23" s="55"/>
      <c r="ER23" s="55"/>
      <c r="ES23" s="55"/>
      <c r="ET23" s="55"/>
      <c r="EU23" s="55"/>
      <c r="EV23" s="55"/>
      <c r="EW23" s="55"/>
      <c r="EX23" s="55"/>
      <c r="EY23" s="55"/>
      <c r="EZ23" s="55"/>
      <c r="FA23" s="55"/>
      <c r="FB23" s="55"/>
      <c r="FC23" s="55"/>
      <c r="FD23" s="55"/>
      <c r="FE23" s="55"/>
      <c r="FF23" s="55"/>
      <c r="FG23" s="55"/>
      <c r="FH23" s="55"/>
      <c r="FI23" s="55"/>
      <c r="FJ23" s="55"/>
      <c r="FK23" s="55"/>
      <c r="FL23" s="55"/>
      <c r="FM23" s="55"/>
      <c r="FN23" s="55"/>
      <c r="FO23" s="55"/>
      <c r="FP23" s="55"/>
      <c r="FQ23" s="55"/>
      <c r="FR23" s="55"/>
      <c r="FS23" s="55"/>
      <c r="FT23" s="55"/>
      <c r="FU23" s="55"/>
      <c r="FV23" s="55"/>
      <c r="FW23" s="55"/>
    </row>
    <row r="24" spans="1:179" s="57" customFormat="1" ht="9.75" customHeight="1" x14ac:dyDescent="0.15">
      <c r="A24" s="468" t="s">
        <v>147</v>
      </c>
      <c r="B24" s="213">
        <v>0.01</v>
      </c>
      <c r="C24" s="214">
        <v>0.1</v>
      </c>
      <c r="D24" s="224"/>
      <c r="E24" s="225"/>
      <c r="F24" s="215">
        <v>0</v>
      </c>
      <c r="G24" s="216">
        <v>0</v>
      </c>
      <c r="H24" s="223">
        <v>0</v>
      </c>
      <c r="I24" s="223">
        <v>0</v>
      </c>
      <c r="J24" s="217">
        <f t="shared" si="97"/>
        <v>0</v>
      </c>
      <c r="K24" s="493">
        <f>SUM(IF((0*(IF(ISBLANK(E24),C24,E24)))+IF(ISBLANK(D24),B24,D24) &lt; 0, 0, (0*(IF(ISBLANK(E24),C24,E24)))+IF(ISBLANK(D24),B24,D24)))</f>
        <v>0.01</v>
      </c>
      <c r="L24" s="493">
        <f>SUM(IF((1*(IF(ISBLANK(E24),C24,E24)))+IF(ISBLANK(D24),B24,D24) &lt; 0, 0, (1*(IF(ISBLANK(E24),C24,E24)))+IF(ISBLANK(D24),B24,D24)))</f>
        <v>0.11</v>
      </c>
      <c r="M24" s="493">
        <f>SUM(IF((2*(IF(ISBLANK(E24),C24,E24)))+IF(ISBLANK(D24),B24,D24) &lt; 0, 0, (2*(IF(ISBLANK(E24),C24,E24)))+IF(ISBLANK(D24),B24,D24)))</f>
        <v>0.21000000000000002</v>
      </c>
      <c r="N24" s="493">
        <f>SUM(IF((3*(IF(ISBLANK(E24),C24,E24)))+IF(ISBLANK(D24),B24,D24) &lt; 0, 0, (3*(IF(ISBLANK(E24),C24,E24)))+IF(ISBLANK(D24),B24,D24)))</f>
        <v>0.31000000000000005</v>
      </c>
      <c r="O24" s="217">
        <f t="shared" si="91"/>
        <v>353900.66799247434</v>
      </c>
      <c r="P24" s="493">
        <f>SUM(IF((4*(IF(ISBLANK(E24),C24,E24)))+IF(ISBLANK(D24),B24,D24) &lt; 0, 0, (4*(IF(ISBLANK(E24),C24,E24)))+IF(ISBLANK(D24),B24,D24)))</f>
        <v>0.41000000000000003</v>
      </c>
      <c r="Q24" s="493">
        <f>SUM(IF((5*(IF(ISBLANK(E24),C24,E24)))+IF(ISBLANK(D24),B24,D24) &lt; 0, 0, (5*(IF(ISBLANK(E24),C24,E24)))+IF(ISBLANK(D24),B24,D24)))</f>
        <v>0.51</v>
      </c>
      <c r="R24" s="493">
        <f>SUM(IF((6*(IF(ISBLANK(E24),C24,E24)))+IF(ISBLANK(D24),B24,D24) &lt; 0, 0, (6*(IF(ISBLANK(E24),C24,E24)))+IF(ISBLANK(D24),B24,D24)))</f>
        <v>0.6100000000000001</v>
      </c>
      <c r="S24" s="493">
        <f>SUM(IF((7*(IF(ISBLANK(E24),C24,E24)))+IF(ISBLANK(D24),B24,D24) &lt; 0, 0, (7*(IF(ISBLANK(E24),C24,E24)))+IF(ISBLANK(D24),B24,D24)))</f>
        <v>0.71000000000000008</v>
      </c>
      <c r="T24" s="218">
        <f t="shared" si="96"/>
        <v>6780271.8742359355</v>
      </c>
      <c r="U24" s="247"/>
      <c r="V24" s="213">
        <f>SUM(IF((9*(IF(ISBLANK(E24),C24,E24)))+IF(ISBLANK(D24),B24,D24) &lt; 0, 0, (9*(IF(ISBLANK(E24),C24,E24)))+IF(ISBLANK(D24),B24,D24)))*12</f>
        <v>10.92</v>
      </c>
      <c r="W24" s="219">
        <f>SUM(IF((11*(IF(ISBLANK(E24),C24,E24)))+IF(ISBLANK(D24),B24,D24) &lt; 0, 0, (11*(IF(ISBLANK(E24),C24,E24)))+IF(ISBLANK(D24),B24,D24)))*12</f>
        <v>13.32</v>
      </c>
      <c r="X24" s="220">
        <f>SUM(IF((13*(IF(ISBLANK(E24),C24,E24)))+IF(ISBLANK(D24),B24,D24) &lt; 0, 0, (13*(IF(ISBLANK(E24),C24,E24)))+IF(ISBLANK(D24),B24,D24)))*12</f>
        <v>15.72</v>
      </c>
      <c r="Y24" s="221"/>
      <c r="Z24" s="578">
        <v>0</v>
      </c>
      <c r="AA24" s="617"/>
      <c r="AB24" s="532">
        <f>SUM(AB18*F24)</f>
        <v>0</v>
      </c>
      <c r="AC24" s="492">
        <f>SUM(AC18*F24)</f>
        <v>0</v>
      </c>
      <c r="AD24" s="492">
        <f>SUM(AD18*F24)</f>
        <v>0</v>
      </c>
      <c r="AE24" s="492">
        <f t="shared" si="70"/>
        <v>0</v>
      </c>
      <c r="AF24" s="222"/>
      <c r="AG24" s="532">
        <f>SUM(AG18*G24)</f>
        <v>0</v>
      </c>
      <c r="AH24" s="492">
        <f>SUM(AH18*G24)</f>
        <v>0</v>
      </c>
      <c r="AI24" s="492">
        <f>SUM(AI18*G24)</f>
        <v>0</v>
      </c>
      <c r="AJ24" s="492">
        <f t="shared" si="71"/>
        <v>0</v>
      </c>
      <c r="AK24" s="222"/>
      <c r="AL24" s="532">
        <f t="shared" si="72"/>
        <v>0</v>
      </c>
      <c r="AM24" s="492">
        <f t="shared" si="73"/>
        <v>0</v>
      </c>
      <c r="AN24" s="492">
        <f t="shared" si="74"/>
        <v>0</v>
      </c>
      <c r="AO24" s="492">
        <f t="shared" si="75"/>
        <v>0</v>
      </c>
      <c r="AP24" s="222"/>
      <c r="AQ24" s="532">
        <f>SUM(AQ18*I24)</f>
        <v>0</v>
      </c>
      <c r="AR24" s="492">
        <f>SUM(AR18*I24)</f>
        <v>0</v>
      </c>
      <c r="AS24" s="492">
        <f>SUM(AS18*I24)</f>
        <v>0</v>
      </c>
      <c r="AT24" s="492">
        <f t="shared" si="76"/>
        <v>0</v>
      </c>
      <c r="AU24" s="222"/>
      <c r="AV24" s="617"/>
      <c r="AW24" s="532">
        <f>SUM(AW18*K24)</f>
        <v>647.96068906711639</v>
      </c>
      <c r="AX24" s="492">
        <f>SUM(AX18*K24)</f>
        <v>747.99926858154549</v>
      </c>
      <c r="AY24" s="492">
        <f>SUM(AY18*K24)</f>
        <v>850.23528508120262</v>
      </c>
      <c r="AZ24" s="492">
        <f t="shared" si="77"/>
        <v>2246.1952427298647</v>
      </c>
      <c r="BA24" s="222"/>
      <c r="BB24" s="532">
        <f>SUM(BB18*L24)</f>
        <v>10742.341530253476</v>
      </c>
      <c r="BC24" s="492">
        <f>SUM(BC18*L24)</f>
        <v>12136.205497800589</v>
      </c>
      <c r="BD24" s="492">
        <f>SUM(BD18*L24)</f>
        <v>13534.192196671394</v>
      </c>
      <c r="BE24" s="492">
        <f t="shared" si="78"/>
        <v>36412.739224725461</v>
      </c>
      <c r="BF24" s="222"/>
      <c r="BG24" s="532">
        <f>SUM(BG18*M24)</f>
        <v>29401.61697592862</v>
      </c>
      <c r="BH24" s="492">
        <f>SUM(BH18*M24)</f>
        <v>32986.416503851906</v>
      </c>
      <c r="BI24" s="492">
        <f>SUM(BI18*M24)</f>
        <v>36592.52781903313</v>
      </c>
      <c r="BJ24" s="492">
        <f t="shared" si="79"/>
        <v>98980.561298813656</v>
      </c>
      <c r="BK24" s="222"/>
      <c r="BL24" s="532">
        <f>SUM(BL18*N24)</f>
        <v>62962.945958146447</v>
      </c>
      <c r="BM24" s="492">
        <f>SUM(BM18*N24)</f>
        <v>72041.882449319019</v>
      </c>
      <c r="BN24" s="492">
        <f>SUM(BN18*N24)</f>
        <v>81256.343818739886</v>
      </c>
      <c r="BO24" s="492">
        <f t="shared" si="80"/>
        <v>216261.17222620535</v>
      </c>
      <c r="BP24" s="222"/>
      <c r="BQ24" s="221"/>
      <c r="BR24" s="532">
        <f>SUM(BR18*P24)</f>
        <v>127368.71572722623</v>
      </c>
      <c r="BS24" s="492">
        <f>SUM(BS18*P24)</f>
        <v>147744.9624070588</v>
      </c>
      <c r="BT24" s="492">
        <f>SUM(BT18*P24)</f>
        <v>168608.1738338795</v>
      </c>
      <c r="BU24" s="492">
        <f t="shared" si="81"/>
        <v>443721.85196816456</v>
      </c>
      <c r="BV24" s="222"/>
      <c r="BW24" s="532">
        <f>SUM(BW18*Q24)</f>
        <v>252489.51139230464</v>
      </c>
      <c r="BX24" s="492">
        <f>SUM(BX18*Q24)</f>
        <v>296651.62661516829</v>
      </c>
      <c r="BY24" s="492">
        <f>SUM(BY18*Q24)</f>
        <v>342264.61414432758</v>
      </c>
      <c r="BZ24" s="492">
        <f t="shared" si="82"/>
        <v>891405.75215180055</v>
      </c>
      <c r="CA24" s="222"/>
      <c r="CB24" s="532">
        <f>SUM(CB18*R24)</f>
        <v>500906.75875399046</v>
      </c>
      <c r="CC24" s="492">
        <f>SUM(CC18*R24)</f>
        <v>596262.44873549859</v>
      </c>
      <c r="CD24" s="492">
        <f>SUM(CD18*R24)</f>
        <v>695602.1730289954</v>
      </c>
      <c r="CE24" s="492">
        <f t="shared" si="83"/>
        <v>1792771.3805184844</v>
      </c>
      <c r="CF24" s="222"/>
      <c r="CG24" s="532">
        <f>SUM(CG18*S24)</f>
        <v>1006802.9007878974</v>
      </c>
      <c r="CH24" s="492">
        <f>SUM(CH18*S24)</f>
        <v>1213959.3307803548</v>
      </c>
      <c r="CI24" s="492">
        <f>SUM(CI18*S24)</f>
        <v>1431610.6580292331</v>
      </c>
      <c r="CJ24" s="492">
        <f t="shared" si="84"/>
        <v>3652372.8895974853</v>
      </c>
      <c r="CK24" s="222"/>
      <c r="CL24" s="55"/>
      <c r="CM24" s="55"/>
      <c r="CN24" s="55"/>
      <c r="CO24" s="55"/>
      <c r="CP24" s="55"/>
      <c r="CQ24" s="55"/>
      <c r="CR24" s="55"/>
      <c r="CS24" s="55"/>
      <c r="CT24" s="55"/>
      <c r="CU24" s="55"/>
      <c r="CV24" s="55"/>
      <c r="CW24" s="55"/>
      <c r="CX24" s="55"/>
      <c r="CY24" s="55"/>
      <c r="CZ24" s="55"/>
      <c r="DA24" s="55"/>
      <c r="DB24" s="55"/>
      <c r="DC24" s="55"/>
      <c r="DD24" s="55"/>
      <c r="DE24" s="55"/>
      <c r="DF24" s="55"/>
      <c r="DG24" s="55"/>
      <c r="DH24" s="55"/>
      <c r="DI24" s="55"/>
      <c r="DJ24" s="55"/>
      <c r="DK24" s="55"/>
      <c r="DL24" s="55"/>
      <c r="DM24" s="55"/>
      <c r="DN24" s="55"/>
      <c r="DO24" s="55"/>
      <c r="DP24" s="55"/>
      <c r="DQ24" s="55"/>
      <c r="DR24" s="55"/>
      <c r="DS24" s="55"/>
      <c r="DT24" s="55"/>
      <c r="DU24" s="55"/>
      <c r="DV24" s="55"/>
      <c r="DW24" s="55"/>
      <c r="DX24" s="55"/>
      <c r="DY24" s="55"/>
      <c r="DZ24" s="55"/>
      <c r="EA24" s="55"/>
      <c r="EB24" s="55"/>
      <c r="EC24" s="55"/>
      <c r="ED24" s="55"/>
      <c r="EE24" s="55"/>
      <c r="EF24" s="55"/>
      <c r="EG24" s="55"/>
      <c r="EH24" s="55"/>
      <c r="EI24" s="55"/>
      <c r="EJ24" s="55"/>
      <c r="EK24" s="55"/>
      <c r="EL24" s="55"/>
      <c r="EM24" s="55"/>
      <c r="EN24" s="55"/>
      <c r="EO24" s="55"/>
      <c r="EP24" s="55"/>
      <c r="EQ24" s="55"/>
      <c r="ER24" s="55"/>
      <c r="ES24" s="55"/>
      <c r="ET24" s="55"/>
      <c r="EU24" s="55"/>
      <c r="EV24" s="55"/>
      <c r="EW24" s="55"/>
      <c r="EX24" s="55"/>
      <c r="EY24" s="55"/>
      <c r="EZ24" s="55"/>
      <c r="FA24" s="55"/>
      <c r="FB24" s="55"/>
      <c r="FC24" s="55"/>
      <c r="FD24" s="55"/>
      <c r="FE24" s="55"/>
      <c r="FF24" s="55"/>
      <c r="FG24" s="55"/>
      <c r="FH24" s="55"/>
      <c r="FI24" s="55"/>
      <c r="FJ24" s="55"/>
      <c r="FK24" s="55"/>
      <c r="FL24" s="55"/>
      <c r="FM24" s="55"/>
      <c r="FN24" s="55"/>
      <c r="FO24" s="55"/>
      <c r="FP24" s="55"/>
      <c r="FQ24" s="55"/>
      <c r="FR24" s="55"/>
      <c r="FS24" s="55"/>
      <c r="FT24" s="55"/>
      <c r="FU24" s="55"/>
      <c r="FV24" s="55"/>
      <c r="FW24" s="55"/>
    </row>
    <row r="25" spans="1:179" s="57" customFormat="1" ht="9.75" customHeight="1" x14ac:dyDescent="0.15">
      <c r="A25" s="468" t="s">
        <v>148</v>
      </c>
      <c r="B25" s="213">
        <v>0.01</v>
      </c>
      <c r="C25" s="214">
        <v>0.02</v>
      </c>
      <c r="D25" s="224"/>
      <c r="E25" s="225"/>
      <c r="F25" s="215">
        <v>0</v>
      </c>
      <c r="G25" s="216">
        <v>0</v>
      </c>
      <c r="H25" s="223">
        <v>0</v>
      </c>
      <c r="I25" s="223">
        <v>0</v>
      </c>
      <c r="J25" s="217">
        <f t="shared" si="97"/>
        <v>0</v>
      </c>
      <c r="K25" s="493">
        <f>SUM(IF((0*(IF(ISBLANK(E25),C25,E25)))+IF(ISBLANK(D25),B25,D25) &lt; 0, 0, (0*(IF(ISBLANK(E25),C25,E25)))+IF(ISBLANK(D25),B25,D25)))</f>
        <v>0.01</v>
      </c>
      <c r="L25" s="493">
        <f>SUM(IF((1*(IF(ISBLANK(E25),C25,E25)))+IF(ISBLANK(D25),B25,D25) &lt; 0, 0, (1*(IF(ISBLANK(E25),C25,E25)))+IF(ISBLANK(D25),B25,D25)))</f>
        <v>0.03</v>
      </c>
      <c r="M25" s="493">
        <f>SUM(IF((2*(IF(ISBLANK(E25),C25,E25)))+IF(ISBLANK(D25),B25,D25) &lt; 0, 0, (2*(IF(ISBLANK(E25),C25,E25)))+IF(ISBLANK(D25),B25,D25)))</f>
        <v>0.05</v>
      </c>
      <c r="N25" s="493">
        <f>SUM(IF((3*(IF(ISBLANK(E25),C25,E25)))+IF(ISBLANK(D25),B25,D25) &lt; 0, 0, (3*(IF(ISBLANK(E25),C25,E25)))+IF(ISBLANK(D25),B25,D25)))</f>
        <v>6.9999999999999993E-2</v>
      </c>
      <c r="O25" s="217">
        <f t="shared" si="91"/>
        <v>84576.910535306321</v>
      </c>
      <c r="P25" s="493">
        <f>SUM(IF((4*(IF(ISBLANK(E25),C25,E25)))+IF(ISBLANK(D25),B25,D25) &lt; 0, 0, (4*(IF(ISBLANK(E25),C25,E25)))+IF(ISBLANK(D25),B25,D25)))</f>
        <v>0.09</v>
      </c>
      <c r="Q25" s="493">
        <f>SUM(IF((5*(IF(ISBLANK(E25),C25,E25)))+IF(ISBLANK(D25),B25,D25) &lt; 0, 0, (5*(IF(ISBLANK(E25),C25,E25)))+IF(ISBLANK(D25),B25,D25)))</f>
        <v>0.11</v>
      </c>
      <c r="R25" s="493">
        <f>SUM(IF((6*(IF(ISBLANK(E25),C25,E25)))+IF(ISBLANK(D25),B25,D25) &lt; 0, 0, (6*(IF(ISBLANK(E25),C25,E25)))+IF(ISBLANK(D25),B25,D25)))</f>
        <v>0.13</v>
      </c>
      <c r="S25" s="493">
        <f>SUM(IF((7*(IF(ISBLANK(E25),C25,E25)))+IF(ISBLANK(D25),B25,D25) &lt; 0, 0, (7*(IF(ISBLANK(E25),C25,E25)))+IF(ISBLANK(D25),B25,D25)))</f>
        <v>0.15000000000000002</v>
      </c>
      <c r="T25" s="218">
        <f t="shared" si="96"/>
        <v>1443360.4506881905</v>
      </c>
      <c r="U25" s="247"/>
      <c r="V25" s="213">
        <f>SUM(IF((9*(IF(ISBLANK(E25),C25,E25)))+IF(ISBLANK(D25),B25,D25) &lt; 0, 0, (9*(IF(ISBLANK(E25),C25,E25)))+IF(ISBLANK(D25),B25,D25)))*12</f>
        <v>2.2800000000000002</v>
      </c>
      <c r="W25" s="219">
        <f>SUM(IF((11*(IF(ISBLANK(E25),C25,E25)))+IF(ISBLANK(D25),B25,D25) &lt; 0, 0, (11*(IF(ISBLANK(E25),C25,E25)))+IF(ISBLANK(D25),B25,D25)))*12</f>
        <v>2.7600000000000002</v>
      </c>
      <c r="X25" s="220">
        <f>SUM(IF((13*(IF(ISBLANK(E25),C25,E25)))+IF(ISBLANK(D25),B25,D25) &lt; 0, 0, (13*(IF(ISBLANK(E25),C25,E25)))+IF(ISBLANK(D25),B25,D25)))*12</f>
        <v>3.24</v>
      </c>
      <c r="Y25" s="221"/>
      <c r="Z25" s="578">
        <v>0</v>
      </c>
      <c r="AA25" s="617"/>
      <c r="AB25" s="532">
        <f>SUM(AB18*F25)</f>
        <v>0</v>
      </c>
      <c r="AC25" s="492">
        <f>SUM(AC18*F25)</f>
        <v>0</v>
      </c>
      <c r="AD25" s="492">
        <f>SUM(AD18*F25)</f>
        <v>0</v>
      </c>
      <c r="AE25" s="492">
        <f t="shared" si="70"/>
        <v>0</v>
      </c>
      <c r="AF25" s="222"/>
      <c r="AG25" s="532">
        <f>SUM(AG18*G25)</f>
        <v>0</v>
      </c>
      <c r="AH25" s="492">
        <f>SUM(AH18*G25)</f>
        <v>0</v>
      </c>
      <c r="AI25" s="492">
        <f>SUM(AI18*G25)</f>
        <v>0</v>
      </c>
      <c r="AJ25" s="492">
        <f t="shared" si="71"/>
        <v>0</v>
      </c>
      <c r="AK25" s="222"/>
      <c r="AL25" s="532">
        <f t="shared" si="72"/>
        <v>0</v>
      </c>
      <c r="AM25" s="492">
        <f t="shared" si="73"/>
        <v>0</v>
      </c>
      <c r="AN25" s="492">
        <f t="shared" si="74"/>
        <v>0</v>
      </c>
      <c r="AO25" s="492">
        <f t="shared" si="75"/>
        <v>0</v>
      </c>
      <c r="AP25" s="222"/>
      <c r="AQ25" s="532">
        <f>SUM(AQ18*I25)</f>
        <v>0</v>
      </c>
      <c r="AR25" s="492">
        <f>SUM(AR18*I25)</f>
        <v>0</v>
      </c>
      <c r="AS25" s="492">
        <f>SUM(AS18*I25)</f>
        <v>0</v>
      </c>
      <c r="AT25" s="492">
        <f t="shared" si="76"/>
        <v>0</v>
      </c>
      <c r="AU25" s="222"/>
      <c r="AV25" s="617"/>
      <c r="AW25" s="532">
        <f>SUM(AW18*K25)</f>
        <v>647.96068906711639</v>
      </c>
      <c r="AX25" s="492">
        <f>SUM(AX18*K25)</f>
        <v>747.99926858154549</v>
      </c>
      <c r="AY25" s="492">
        <f>SUM(AY18*K25)</f>
        <v>850.23528508120262</v>
      </c>
      <c r="AZ25" s="492">
        <f t="shared" si="77"/>
        <v>2246.1952427298647</v>
      </c>
      <c r="BA25" s="222"/>
      <c r="BB25" s="532">
        <f>SUM(BB18*L25)</f>
        <v>2929.7295082509477</v>
      </c>
      <c r="BC25" s="492">
        <f>SUM(BC18*L25)</f>
        <v>3309.8742266728877</v>
      </c>
      <c r="BD25" s="492">
        <f>SUM(BD18*L25)</f>
        <v>3691.1433263649255</v>
      </c>
      <c r="BE25" s="492">
        <f t="shared" si="78"/>
        <v>9930.747061288761</v>
      </c>
      <c r="BF25" s="222"/>
      <c r="BG25" s="532">
        <f>SUM(BG18*M25)</f>
        <v>7000.3849942687193</v>
      </c>
      <c r="BH25" s="492">
        <f>SUM(BH18*M25)</f>
        <v>7853.9086913933106</v>
      </c>
      <c r="BI25" s="492">
        <f>SUM(BI18*M25)</f>
        <v>8712.5066235793165</v>
      </c>
      <c r="BJ25" s="492">
        <f t="shared" si="79"/>
        <v>23566.800309241346</v>
      </c>
      <c r="BK25" s="222"/>
      <c r="BL25" s="532">
        <f>SUM(BL18*N25)</f>
        <v>14217.439409904033</v>
      </c>
      <c r="BM25" s="492">
        <f>SUM(BM18*N25)</f>
        <v>16267.521843394612</v>
      </c>
      <c r="BN25" s="492">
        <f>SUM(BN18*N25)</f>
        <v>18348.206668747713</v>
      </c>
      <c r="BO25" s="492">
        <f t="shared" si="80"/>
        <v>48833.167922046356</v>
      </c>
      <c r="BP25" s="222"/>
      <c r="BQ25" s="221"/>
      <c r="BR25" s="532">
        <f>SUM(BR18*P25)</f>
        <v>27958.98637914722</v>
      </c>
      <c r="BS25" s="492">
        <f>SUM(BS18*P25)</f>
        <v>32431.821016183636</v>
      </c>
      <c r="BT25" s="492">
        <f>SUM(BT18*P25)</f>
        <v>37011.550353778424</v>
      </c>
      <c r="BU25" s="492">
        <f t="shared" si="81"/>
        <v>97402.357749109273</v>
      </c>
      <c r="BV25" s="222"/>
      <c r="BW25" s="532">
        <f>SUM(BW18*Q25)</f>
        <v>54458.52206500688</v>
      </c>
      <c r="BX25" s="492">
        <f>SUM(BX18*Q25)</f>
        <v>63983.684171899047</v>
      </c>
      <c r="BY25" s="492">
        <f>SUM(BY18*Q25)</f>
        <v>73821.779521325559</v>
      </c>
      <c r="BZ25" s="492">
        <f t="shared" si="82"/>
        <v>192263.98575823149</v>
      </c>
      <c r="CA25" s="222"/>
      <c r="CB25" s="532">
        <f>SUM(CB18*R25)</f>
        <v>106750.62071806352</v>
      </c>
      <c r="CC25" s="492">
        <f>SUM(CC18*R25)</f>
        <v>127072.32514035216</v>
      </c>
      <c r="CD25" s="492">
        <f>SUM(CD18*R25)</f>
        <v>148243.08605535966</v>
      </c>
      <c r="CE25" s="492">
        <f t="shared" si="83"/>
        <v>382066.03191377537</v>
      </c>
      <c r="CF25" s="222"/>
      <c r="CG25" s="532">
        <f>SUM(CG18*S25)</f>
        <v>212704.83819462624</v>
      </c>
      <c r="CH25" s="492">
        <f>SUM(CH18*S25)</f>
        <v>256470.28115077919</v>
      </c>
      <c r="CI25" s="492">
        <f>SUM(CI18*S25)</f>
        <v>302452.95592166902</v>
      </c>
      <c r="CJ25" s="492">
        <f t="shared" si="84"/>
        <v>771628.0752670744</v>
      </c>
      <c r="CK25" s="222"/>
      <c r="CL25" s="55"/>
      <c r="CM25" s="55"/>
      <c r="CN25" s="55"/>
      <c r="CO25" s="55"/>
      <c r="CP25" s="55"/>
      <c r="CQ25" s="55"/>
      <c r="CR25" s="55"/>
      <c r="CS25" s="55"/>
      <c r="CT25" s="55"/>
      <c r="CU25" s="55"/>
      <c r="CV25" s="55"/>
      <c r="CW25" s="55"/>
      <c r="CX25" s="55"/>
      <c r="CY25" s="55"/>
      <c r="CZ25" s="55"/>
      <c r="DA25" s="55"/>
      <c r="DB25" s="55"/>
      <c r="DC25" s="55"/>
      <c r="DD25" s="55"/>
      <c r="DE25" s="55"/>
      <c r="DF25" s="55"/>
      <c r="DG25" s="55"/>
      <c r="DH25" s="55"/>
      <c r="DI25" s="55"/>
      <c r="DJ25" s="55"/>
      <c r="DK25" s="55"/>
      <c r="DL25" s="55"/>
      <c r="DM25" s="55"/>
      <c r="DN25" s="55"/>
      <c r="DO25" s="55"/>
      <c r="DP25" s="55"/>
      <c r="DQ25" s="55"/>
      <c r="DR25" s="55"/>
      <c r="DS25" s="55"/>
      <c r="DT25" s="55"/>
      <c r="DU25" s="55"/>
      <c r="DV25" s="55"/>
      <c r="DW25" s="55"/>
      <c r="DX25" s="55"/>
      <c r="DY25" s="55"/>
      <c r="DZ25" s="55"/>
      <c r="EA25" s="55"/>
      <c r="EB25" s="55"/>
      <c r="EC25" s="55"/>
      <c r="ED25" s="55"/>
      <c r="EE25" s="55"/>
      <c r="EF25" s="55"/>
      <c r="EG25" s="55"/>
      <c r="EH25" s="55"/>
      <c r="EI25" s="55"/>
      <c r="EJ25" s="55"/>
      <c r="EK25" s="55"/>
      <c r="EL25" s="55"/>
      <c r="EM25" s="55"/>
      <c r="EN25" s="55"/>
      <c r="EO25" s="55"/>
      <c r="EP25" s="55"/>
      <c r="EQ25" s="55"/>
      <c r="ER25" s="55"/>
      <c r="ES25" s="55"/>
      <c r="ET25" s="55"/>
      <c r="EU25" s="55"/>
      <c r="EV25" s="55"/>
      <c r="EW25" s="55"/>
      <c r="EX25" s="55"/>
      <c r="EY25" s="55"/>
      <c r="EZ25" s="55"/>
      <c r="FA25" s="55"/>
      <c r="FB25" s="55"/>
      <c r="FC25" s="55"/>
      <c r="FD25" s="55"/>
      <c r="FE25" s="55"/>
      <c r="FF25" s="55"/>
      <c r="FG25" s="55"/>
      <c r="FH25" s="55"/>
      <c r="FI25" s="55"/>
      <c r="FJ25" s="55"/>
      <c r="FK25" s="55"/>
      <c r="FL25" s="55"/>
      <c r="FM25" s="55"/>
      <c r="FN25" s="55"/>
      <c r="FO25" s="55"/>
      <c r="FP25" s="55"/>
      <c r="FQ25" s="55"/>
      <c r="FR25" s="55"/>
      <c r="FS25" s="55"/>
      <c r="FT25" s="55"/>
      <c r="FU25" s="55"/>
      <c r="FV25" s="55"/>
      <c r="FW25" s="55"/>
    </row>
    <row r="26" spans="1:179" s="57" customFormat="1" ht="9.75" customHeight="1" x14ac:dyDescent="0.15">
      <c r="A26" s="468" t="s">
        <v>149</v>
      </c>
      <c r="B26" s="213">
        <v>0.01</v>
      </c>
      <c r="C26" s="214">
        <v>0.02</v>
      </c>
      <c r="D26" s="224"/>
      <c r="E26" s="225"/>
      <c r="F26" s="215">
        <v>0</v>
      </c>
      <c r="G26" s="216">
        <v>0</v>
      </c>
      <c r="H26" s="223">
        <v>0</v>
      </c>
      <c r="I26" s="223">
        <v>0</v>
      </c>
      <c r="J26" s="217">
        <f t="shared" si="97"/>
        <v>0</v>
      </c>
      <c r="K26" s="493">
        <f>SUM(IF((0*(IF(ISBLANK(E26),C26,E26)))+IF(ISBLANK(D26),B26,D26) &lt; 0, 0, (0*(IF(ISBLANK(E26),C26,E26)))+IF(ISBLANK(D26),B26,D26)))</f>
        <v>0.01</v>
      </c>
      <c r="L26" s="493">
        <f>SUM(IF((1*(IF(ISBLANK(E26),C26,E26)))+IF(ISBLANK(D26),B26,D26) &lt; 0, 0, (1*(IF(ISBLANK(E26),C26,E26)))+IF(ISBLANK(D26),B26,D26)))</f>
        <v>0.03</v>
      </c>
      <c r="M26" s="493">
        <f>SUM(IF((2*(IF(ISBLANK(E26),C26,E26)))+IF(ISBLANK(D26),B26,D26) &lt; 0, 0, (2*(IF(ISBLANK(E26),C26,E26)))+IF(ISBLANK(D26),B26,D26)))</f>
        <v>0.05</v>
      </c>
      <c r="N26" s="493">
        <f>SUM(IF((3*(IF(ISBLANK(E26),C26,E26)))+IF(ISBLANK(D26),B26,D26) &lt; 0, 0, (3*(IF(ISBLANK(E26),C26,E26)))+IF(ISBLANK(D26),B26,D26)))</f>
        <v>6.9999999999999993E-2</v>
      </c>
      <c r="O26" s="217">
        <f t="shared" si="91"/>
        <v>84576.910535306321</v>
      </c>
      <c r="P26" s="493">
        <f>SUM(IF((4*(IF(ISBLANK(E26),C26,E26)))+IF(ISBLANK(D26),B26,D26) &lt; 0, 0, (4*(IF(ISBLANK(E26),C26,E26)))+IF(ISBLANK(D26),B26,D26)))</f>
        <v>0.09</v>
      </c>
      <c r="Q26" s="493">
        <f>SUM(IF((5*(IF(ISBLANK(E26),C26,E26)))+IF(ISBLANK(D26),B26,D26) &lt; 0, 0, (5*(IF(ISBLANK(E26),C26,E26)))+IF(ISBLANK(D26),B26,D26)))</f>
        <v>0.11</v>
      </c>
      <c r="R26" s="493">
        <f>SUM(IF((6*(IF(ISBLANK(E26),C26,E26)))+IF(ISBLANK(D26),B26,D26) &lt; 0, 0, (6*(IF(ISBLANK(E26),C26,E26)))+IF(ISBLANK(D26),B26,D26)))</f>
        <v>0.13</v>
      </c>
      <c r="S26" s="493">
        <f>SUM(IF((7*(IF(ISBLANK(E26),C26,E26)))+IF(ISBLANK(D26),B26,D26) &lt; 0, 0, (7*(IF(ISBLANK(E26),C26,E26)))+IF(ISBLANK(D26),B26,D26)))</f>
        <v>0.15000000000000002</v>
      </c>
      <c r="T26" s="218">
        <f t="shared" si="96"/>
        <v>1443360.4506881905</v>
      </c>
      <c r="U26" s="247"/>
      <c r="V26" s="213">
        <f>SUM(IF((9*(IF(ISBLANK(E26),C26,E26)))+IF(ISBLANK(D26),B26,D26) &lt; 0, 0, (9*(IF(ISBLANK(E26),C26,E26)))+IF(ISBLANK(D26),B26,D26)))*12</f>
        <v>2.2800000000000002</v>
      </c>
      <c r="W26" s="219">
        <f>SUM(IF((11*(IF(ISBLANK(E26),C26,E26)))+IF(ISBLANK(D26),B26,D26) &lt; 0, 0, (11*(IF(ISBLANK(E26),C26,E26)))+IF(ISBLANK(D26),B26,D26)))*12</f>
        <v>2.7600000000000002</v>
      </c>
      <c r="X26" s="220">
        <f>SUM(IF((13*(IF(ISBLANK(E26),C26,E26)))+IF(ISBLANK(D26),B26,D26) &lt; 0, 0, (13*(IF(ISBLANK(E26),C26,E26)))+IF(ISBLANK(D26),B26,D26)))*12</f>
        <v>3.24</v>
      </c>
      <c r="Y26" s="221"/>
      <c r="Z26" s="578">
        <v>0</v>
      </c>
      <c r="AA26" s="617"/>
      <c r="AB26" s="532">
        <f>SUM(AB18*F26)</f>
        <v>0</v>
      </c>
      <c r="AC26" s="492">
        <f>SUM(AC18*F26)</f>
        <v>0</v>
      </c>
      <c r="AD26" s="492">
        <f>SUM(AD18*F26)</f>
        <v>0</v>
      </c>
      <c r="AE26" s="492">
        <f t="shared" si="70"/>
        <v>0</v>
      </c>
      <c r="AF26" s="222"/>
      <c r="AG26" s="532">
        <f>SUM(AG18*G26)</f>
        <v>0</v>
      </c>
      <c r="AH26" s="492">
        <f>SUM(AH18*G26)</f>
        <v>0</v>
      </c>
      <c r="AI26" s="492">
        <f>SUM(AI18*G26)</f>
        <v>0</v>
      </c>
      <c r="AJ26" s="492">
        <f t="shared" si="71"/>
        <v>0</v>
      </c>
      <c r="AK26" s="222"/>
      <c r="AL26" s="532">
        <f t="shared" si="72"/>
        <v>0</v>
      </c>
      <c r="AM26" s="492">
        <f t="shared" si="73"/>
        <v>0</v>
      </c>
      <c r="AN26" s="492">
        <f t="shared" si="74"/>
        <v>0</v>
      </c>
      <c r="AO26" s="492">
        <f t="shared" si="75"/>
        <v>0</v>
      </c>
      <c r="AP26" s="222"/>
      <c r="AQ26" s="532">
        <f>SUM(AQ18*I26)</f>
        <v>0</v>
      </c>
      <c r="AR26" s="492">
        <f>SUM(AR18*I26)</f>
        <v>0</v>
      </c>
      <c r="AS26" s="492">
        <f>SUM(AS18*I26)</f>
        <v>0</v>
      </c>
      <c r="AT26" s="492">
        <f t="shared" si="76"/>
        <v>0</v>
      </c>
      <c r="AU26" s="222"/>
      <c r="AV26" s="617"/>
      <c r="AW26" s="532">
        <f>SUM(AW18*K26)</f>
        <v>647.96068906711639</v>
      </c>
      <c r="AX26" s="492">
        <f>SUM(AX18*K26)</f>
        <v>747.99926858154549</v>
      </c>
      <c r="AY26" s="492">
        <f>SUM(AY18*K26)</f>
        <v>850.23528508120262</v>
      </c>
      <c r="AZ26" s="492">
        <f t="shared" si="77"/>
        <v>2246.1952427298647</v>
      </c>
      <c r="BA26" s="222"/>
      <c r="BB26" s="532">
        <f>SUM(BB18*L26)</f>
        <v>2929.7295082509477</v>
      </c>
      <c r="BC26" s="492">
        <f>SUM(BC18*L26)</f>
        <v>3309.8742266728877</v>
      </c>
      <c r="BD26" s="492">
        <f>SUM(BD18*L26)</f>
        <v>3691.1433263649255</v>
      </c>
      <c r="BE26" s="492">
        <f t="shared" si="78"/>
        <v>9930.747061288761</v>
      </c>
      <c r="BF26" s="222"/>
      <c r="BG26" s="532">
        <f>SUM(BG18*M26)</f>
        <v>7000.3849942687193</v>
      </c>
      <c r="BH26" s="492">
        <f>SUM(BH18*M26)</f>
        <v>7853.9086913933106</v>
      </c>
      <c r="BI26" s="492">
        <f>SUM(BI18*M26)</f>
        <v>8712.5066235793165</v>
      </c>
      <c r="BJ26" s="492">
        <f t="shared" si="79"/>
        <v>23566.800309241346</v>
      </c>
      <c r="BK26" s="222"/>
      <c r="BL26" s="532">
        <f>SUM(BL18*N26)</f>
        <v>14217.439409904033</v>
      </c>
      <c r="BM26" s="492">
        <f>SUM(BM18*N26)</f>
        <v>16267.521843394612</v>
      </c>
      <c r="BN26" s="492">
        <f>SUM(BN18*N26)</f>
        <v>18348.206668747713</v>
      </c>
      <c r="BO26" s="492">
        <f t="shared" si="80"/>
        <v>48833.167922046356</v>
      </c>
      <c r="BP26" s="222"/>
      <c r="BQ26" s="221"/>
      <c r="BR26" s="532">
        <f>SUM(BR18*P26)</f>
        <v>27958.98637914722</v>
      </c>
      <c r="BS26" s="492">
        <f>SUM(BS18*P26)</f>
        <v>32431.821016183636</v>
      </c>
      <c r="BT26" s="492">
        <f>SUM(BT18*P26)</f>
        <v>37011.550353778424</v>
      </c>
      <c r="BU26" s="492">
        <f t="shared" si="81"/>
        <v>97402.357749109273</v>
      </c>
      <c r="BV26" s="222"/>
      <c r="BW26" s="532">
        <f>SUM(BW18*Q26)</f>
        <v>54458.52206500688</v>
      </c>
      <c r="BX26" s="492">
        <f>SUM(BX18*Q26)</f>
        <v>63983.684171899047</v>
      </c>
      <c r="BY26" s="492">
        <f>SUM(BY18*Q26)</f>
        <v>73821.779521325559</v>
      </c>
      <c r="BZ26" s="492">
        <f t="shared" si="82"/>
        <v>192263.98575823149</v>
      </c>
      <c r="CA26" s="222"/>
      <c r="CB26" s="532">
        <f>SUM(CB18*R26)</f>
        <v>106750.62071806352</v>
      </c>
      <c r="CC26" s="492">
        <f>SUM(CC18*R26)</f>
        <v>127072.32514035216</v>
      </c>
      <c r="CD26" s="492">
        <f>SUM(CD18*R26)</f>
        <v>148243.08605535966</v>
      </c>
      <c r="CE26" s="492">
        <f t="shared" si="83"/>
        <v>382066.03191377537</v>
      </c>
      <c r="CF26" s="222"/>
      <c r="CG26" s="532">
        <f>SUM(CG18*S26)</f>
        <v>212704.83819462624</v>
      </c>
      <c r="CH26" s="492">
        <f>SUM(CH18*S26)</f>
        <v>256470.28115077919</v>
      </c>
      <c r="CI26" s="492">
        <f>SUM(CI18*S26)</f>
        <v>302452.95592166902</v>
      </c>
      <c r="CJ26" s="492">
        <f t="shared" si="84"/>
        <v>771628.0752670744</v>
      </c>
      <c r="CK26" s="222"/>
      <c r="CL26" s="55"/>
      <c r="CM26" s="55"/>
      <c r="CN26" s="55"/>
      <c r="CO26" s="55"/>
      <c r="CP26" s="55"/>
      <c r="CQ26" s="55"/>
      <c r="CR26" s="55"/>
      <c r="CS26" s="55"/>
      <c r="CT26" s="55"/>
      <c r="CU26" s="55"/>
      <c r="CV26" s="55"/>
      <c r="CW26" s="55"/>
      <c r="CX26" s="55"/>
      <c r="CY26" s="55"/>
      <c r="CZ26" s="55"/>
      <c r="DA26" s="55"/>
      <c r="DB26" s="55"/>
      <c r="DC26" s="55"/>
      <c r="DD26" s="55"/>
      <c r="DE26" s="55"/>
      <c r="DF26" s="55"/>
      <c r="DG26" s="55"/>
      <c r="DH26" s="55"/>
      <c r="DI26" s="55"/>
      <c r="DJ26" s="55"/>
      <c r="DK26" s="55"/>
      <c r="DL26" s="55"/>
      <c r="DM26" s="55"/>
      <c r="DN26" s="55"/>
      <c r="DO26" s="55"/>
      <c r="DP26" s="55"/>
      <c r="DQ26" s="55"/>
      <c r="DR26" s="55"/>
      <c r="DS26" s="55"/>
      <c r="DT26" s="55"/>
      <c r="DU26" s="55"/>
      <c r="DV26" s="55"/>
      <c r="DW26" s="55"/>
      <c r="DX26" s="55"/>
      <c r="DY26" s="55"/>
      <c r="DZ26" s="55"/>
      <c r="EA26" s="55"/>
      <c r="EB26" s="55"/>
      <c r="EC26" s="55"/>
      <c r="ED26" s="55"/>
      <c r="EE26" s="55"/>
      <c r="EF26" s="55"/>
      <c r="EG26" s="55"/>
      <c r="EH26" s="55"/>
      <c r="EI26" s="55"/>
      <c r="EJ26" s="55"/>
      <c r="EK26" s="55"/>
      <c r="EL26" s="55"/>
      <c r="EM26" s="55"/>
      <c r="EN26" s="55"/>
      <c r="EO26" s="55"/>
      <c r="EP26" s="55"/>
      <c r="EQ26" s="55"/>
      <c r="ER26" s="55"/>
      <c r="ES26" s="55"/>
      <c r="ET26" s="55"/>
      <c r="EU26" s="55"/>
      <c r="EV26" s="55"/>
      <c r="EW26" s="55"/>
      <c r="EX26" s="55"/>
      <c r="EY26" s="55"/>
      <c r="EZ26" s="55"/>
      <c r="FA26" s="55"/>
      <c r="FB26" s="55"/>
      <c r="FC26" s="55"/>
      <c r="FD26" s="55"/>
      <c r="FE26" s="55"/>
      <c r="FF26" s="55"/>
      <c r="FG26" s="55"/>
      <c r="FH26" s="55"/>
      <c r="FI26" s="55"/>
      <c r="FJ26" s="55"/>
      <c r="FK26" s="55"/>
      <c r="FL26" s="55"/>
      <c r="FM26" s="55"/>
      <c r="FN26" s="55"/>
      <c r="FO26" s="55"/>
      <c r="FP26" s="55"/>
      <c r="FQ26" s="55"/>
      <c r="FR26" s="55"/>
      <c r="FS26" s="55"/>
      <c r="FT26" s="55"/>
      <c r="FU26" s="55"/>
      <c r="FV26" s="55"/>
      <c r="FW26" s="55"/>
    </row>
    <row r="27" spans="1:179" s="57" customFormat="1" ht="9.75" customHeight="1" x14ac:dyDescent="0.15">
      <c r="A27" s="468" t="s">
        <v>150</v>
      </c>
      <c r="B27" s="213">
        <v>0</v>
      </c>
      <c r="C27" s="214">
        <v>0</v>
      </c>
      <c r="D27" s="224"/>
      <c r="E27" s="225"/>
      <c r="F27" s="215">
        <v>0</v>
      </c>
      <c r="G27" s="216">
        <v>0</v>
      </c>
      <c r="H27" s="223">
        <v>0</v>
      </c>
      <c r="I27" s="223">
        <v>0</v>
      </c>
      <c r="J27" s="217">
        <f t="shared" si="97"/>
        <v>0</v>
      </c>
      <c r="K27" s="223">
        <v>0</v>
      </c>
      <c r="L27" s="223">
        <v>0</v>
      </c>
      <c r="M27" s="223">
        <v>0</v>
      </c>
      <c r="N27" s="223">
        <v>0</v>
      </c>
      <c r="O27" s="217">
        <f t="shared" si="91"/>
        <v>0</v>
      </c>
      <c r="P27" s="493">
        <f>SUM(IF((0*(IF(ISBLANK(E27),C27,E27)))+IF(ISBLANK(D27),B27,D27) &lt; 0, 0, (0*(IF(ISBLANK(E27),C27,E27)))+IF(ISBLANK(D27),B27,D27)))</f>
        <v>0</v>
      </c>
      <c r="Q27" s="493">
        <f>SUM(IF((1*(IF(ISBLANK(E27),C27,E27)))+IF(ISBLANK(D27),B27,D27) &lt; 0, 0, (1*(IF(ISBLANK(E27),C27,E27)))+IF(ISBLANK(D27),B27,D27)))</f>
        <v>0</v>
      </c>
      <c r="R27" s="493">
        <f>SUM(IF((2*(IF(ISBLANK(E27),C27,E27)))+IF(ISBLANK(D27),B27,D27) &lt; 0, 0, (2*(IF(ISBLANK(E27),C27,E27)))+IF(ISBLANK(D27),B27,D27)))</f>
        <v>0</v>
      </c>
      <c r="S27" s="493">
        <f>SUM(IF((3*(IF(ISBLANK(E27),C27,E27)))+IF(ISBLANK(D27),B27,D27) &lt; 0, 0, (3*(IF(ISBLANK(E27),C27,E27)))+IF(ISBLANK(D27),B27,D27)))</f>
        <v>0</v>
      </c>
      <c r="T27" s="218">
        <f t="shared" si="96"/>
        <v>0</v>
      </c>
      <c r="U27" s="247"/>
      <c r="V27" s="213">
        <f>SUM(IF((5*(IF(ISBLANK(E27),C27,E27)))+IF(ISBLANK(D27),B27,D27) &lt; 0, 0, (5*(IF(ISBLANK(E27),C27,E27)))+IF(ISBLANK(D27),B27,D27)))*12</f>
        <v>0</v>
      </c>
      <c r="W27" s="219">
        <f>SUM(IF((7*(IF(ISBLANK(E27),C27,E27)))+IF(ISBLANK(D27),B27,D27) &lt; 0, 0, (7*(IF(ISBLANK(E27),C27,E27)))+IF(ISBLANK(D27),B27,D27)))*12</f>
        <v>0</v>
      </c>
      <c r="X27" s="220">
        <f>SUM(IF((9*(IF(ISBLANK(E27),C27,E27)))+IF(ISBLANK(D27),B27,D27) &lt; 0, 0, (9*(IF(ISBLANK(E27),C27,E27)))+IF(ISBLANK(D27),B27,D27)))*12</f>
        <v>0</v>
      </c>
      <c r="Y27" s="221"/>
      <c r="Z27" s="578">
        <v>0</v>
      </c>
      <c r="AA27" s="617"/>
      <c r="AB27" s="532">
        <f>SUM(AB18*F27)</f>
        <v>0</v>
      </c>
      <c r="AC27" s="492">
        <f>SUM(AC18*F27)</f>
        <v>0</v>
      </c>
      <c r="AD27" s="492">
        <f>SUM(AD18*F27)</f>
        <v>0</v>
      </c>
      <c r="AE27" s="492">
        <f t="shared" si="70"/>
        <v>0</v>
      </c>
      <c r="AF27" s="222"/>
      <c r="AG27" s="532">
        <f>SUM(AG18*G27)</f>
        <v>0</v>
      </c>
      <c r="AH27" s="492">
        <f>SUM(AH18*G27)</f>
        <v>0</v>
      </c>
      <c r="AI27" s="492">
        <f>SUM(AI18*G27)</f>
        <v>0</v>
      </c>
      <c r="AJ27" s="492">
        <f t="shared" si="71"/>
        <v>0</v>
      </c>
      <c r="AK27" s="222"/>
      <c r="AL27" s="532">
        <f t="shared" si="72"/>
        <v>0</v>
      </c>
      <c r="AM27" s="492">
        <f t="shared" si="73"/>
        <v>0</v>
      </c>
      <c r="AN27" s="492">
        <f t="shared" si="74"/>
        <v>0</v>
      </c>
      <c r="AO27" s="492">
        <f t="shared" si="75"/>
        <v>0</v>
      </c>
      <c r="AP27" s="222"/>
      <c r="AQ27" s="532">
        <f>SUM(AQ18*I27)</f>
        <v>0</v>
      </c>
      <c r="AR27" s="492">
        <f>SUM(AR18*I27)</f>
        <v>0</v>
      </c>
      <c r="AS27" s="492">
        <f>SUM(AS18*I27)</f>
        <v>0</v>
      </c>
      <c r="AT27" s="492">
        <f t="shared" si="76"/>
        <v>0</v>
      </c>
      <c r="AU27" s="222"/>
      <c r="AV27" s="617"/>
      <c r="AW27" s="532">
        <f>SUM(AW18*K27)</f>
        <v>0</v>
      </c>
      <c r="AX27" s="492">
        <f>SUM(AX18*K27)</f>
        <v>0</v>
      </c>
      <c r="AY27" s="492">
        <f>SUM(AY18*K27)</f>
        <v>0</v>
      </c>
      <c r="AZ27" s="492">
        <f t="shared" si="77"/>
        <v>0</v>
      </c>
      <c r="BA27" s="222"/>
      <c r="BB27" s="532">
        <f>SUM(BB18*L27)</f>
        <v>0</v>
      </c>
      <c r="BC27" s="492">
        <f>SUM(BC18*L27)</f>
        <v>0</v>
      </c>
      <c r="BD27" s="492">
        <f>SUM(BD18*L27)</f>
        <v>0</v>
      </c>
      <c r="BE27" s="492">
        <f t="shared" si="78"/>
        <v>0</v>
      </c>
      <c r="BF27" s="222"/>
      <c r="BG27" s="532">
        <f>SUM(BG18*M27)</f>
        <v>0</v>
      </c>
      <c r="BH27" s="492">
        <f>SUM(BH18*M27)</f>
        <v>0</v>
      </c>
      <c r="BI27" s="492">
        <f>SUM(BI18*M27)</f>
        <v>0</v>
      </c>
      <c r="BJ27" s="492">
        <f t="shared" si="79"/>
        <v>0</v>
      </c>
      <c r="BK27" s="222"/>
      <c r="BL27" s="532">
        <f>SUM(BL18*N27)</f>
        <v>0</v>
      </c>
      <c r="BM27" s="492">
        <f>SUM(BM18*N27)</f>
        <v>0</v>
      </c>
      <c r="BN27" s="492">
        <f>SUM(BN18*N27)</f>
        <v>0</v>
      </c>
      <c r="BO27" s="492">
        <f t="shared" si="80"/>
        <v>0</v>
      </c>
      <c r="BP27" s="222"/>
      <c r="BQ27" s="221"/>
      <c r="BR27" s="532">
        <f>SUM(BR18*P27)</f>
        <v>0</v>
      </c>
      <c r="BS27" s="492">
        <f>SUM(BS18*P27)</f>
        <v>0</v>
      </c>
      <c r="BT27" s="492">
        <f>SUM(BT18*P27)</f>
        <v>0</v>
      </c>
      <c r="BU27" s="492">
        <f t="shared" si="81"/>
        <v>0</v>
      </c>
      <c r="BV27" s="222"/>
      <c r="BW27" s="532">
        <f>SUM(BW18*Q27)</f>
        <v>0</v>
      </c>
      <c r="BX27" s="492">
        <f>SUM(BX18*Q27)</f>
        <v>0</v>
      </c>
      <c r="BY27" s="492">
        <f>SUM(BY18*Q27)</f>
        <v>0</v>
      </c>
      <c r="BZ27" s="492">
        <f t="shared" si="82"/>
        <v>0</v>
      </c>
      <c r="CA27" s="222"/>
      <c r="CB27" s="532">
        <f>SUM(CB18*R27)</f>
        <v>0</v>
      </c>
      <c r="CC27" s="492">
        <f>SUM(CC18*R27)</f>
        <v>0</v>
      </c>
      <c r="CD27" s="492">
        <f>SUM(CD18*R27)</f>
        <v>0</v>
      </c>
      <c r="CE27" s="492">
        <f t="shared" si="83"/>
        <v>0</v>
      </c>
      <c r="CF27" s="222"/>
      <c r="CG27" s="532">
        <f>SUM(CG18*S27)</f>
        <v>0</v>
      </c>
      <c r="CH27" s="492">
        <f>SUM(CH18*S27)</f>
        <v>0</v>
      </c>
      <c r="CI27" s="492">
        <f>SUM(CI18*S27)</f>
        <v>0</v>
      </c>
      <c r="CJ27" s="492">
        <f t="shared" si="84"/>
        <v>0</v>
      </c>
      <c r="CK27" s="222"/>
      <c r="CL27" s="55"/>
      <c r="CM27" s="55"/>
      <c r="CN27" s="55"/>
      <c r="CO27" s="55"/>
      <c r="CP27" s="55"/>
      <c r="CQ27" s="55"/>
      <c r="CR27" s="55"/>
      <c r="CS27" s="55"/>
      <c r="CT27" s="55"/>
      <c r="CU27" s="55"/>
      <c r="CV27" s="55"/>
      <c r="CW27" s="55"/>
      <c r="CX27" s="55"/>
      <c r="CY27" s="55"/>
      <c r="CZ27" s="55"/>
      <c r="DA27" s="55"/>
      <c r="DB27" s="55"/>
      <c r="DC27" s="55"/>
      <c r="DD27" s="55"/>
      <c r="DE27" s="55"/>
      <c r="DF27" s="55"/>
      <c r="DG27" s="55"/>
      <c r="DH27" s="55"/>
      <c r="DI27" s="55"/>
      <c r="DJ27" s="55"/>
      <c r="DK27" s="55"/>
      <c r="DL27" s="55"/>
      <c r="DM27" s="55"/>
      <c r="DN27" s="55"/>
      <c r="DO27" s="55"/>
      <c r="DP27" s="55"/>
      <c r="DQ27" s="55"/>
      <c r="DR27" s="55"/>
      <c r="DS27" s="55"/>
      <c r="DT27" s="55"/>
      <c r="DU27" s="55"/>
      <c r="DV27" s="55"/>
      <c r="DW27" s="55"/>
      <c r="DX27" s="55"/>
      <c r="DY27" s="55"/>
      <c r="DZ27" s="55"/>
      <c r="EA27" s="55"/>
      <c r="EB27" s="55"/>
      <c r="EC27" s="55"/>
      <c r="ED27" s="55"/>
      <c r="EE27" s="55"/>
      <c r="EF27" s="55"/>
      <c r="EG27" s="55"/>
      <c r="EH27" s="55"/>
      <c r="EI27" s="55"/>
      <c r="EJ27" s="55"/>
      <c r="EK27" s="55"/>
      <c r="EL27" s="55"/>
      <c r="EM27" s="55"/>
      <c r="EN27" s="55"/>
      <c r="EO27" s="55"/>
      <c r="EP27" s="55"/>
      <c r="EQ27" s="55"/>
      <c r="ER27" s="55"/>
      <c r="ES27" s="55"/>
      <c r="ET27" s="55"/>
      <c r="EU27" s="55"/>
      <c r="EV27" s="55"/>
      <c r="EW27" s="55"/>
      <c r="EX27" s="55"/>
      <c r="EY27" s="55"/>
      <c r="EZ27" s="55"/>
      <c r="FA27" s="55"/>
      <c r="FB27" s="55"/>
      <c r="FC27" s="55"/>
      <c r="FD27" s="55"/>
      <c r="FE27" s="55"/>
      <c r="FF27" s="55"/>
      <c r="FG27" s="55"/>
      <c r="FH27" s="55"/>
      <c r="FI27" s="55"/>
      <c r="FJ27" s="55"/>
      <c r="FK27" s="55"/>
      <c r="FL27" s="55"/>
      <c r="FM27" s="55"/>
      <c r="FN27" s="55"/>
      <c r="FO27" s="55"/>
      <c r="FP27" s="55"/>
      <c r="FQ27" s="55"/>
      <c r="FR27" s="55"/>
      <c r="FS27" s="55"/>
      <c r="FT27" s="55"/>
      <c r="FU27" s="55"/>
      <c r="FV27" s="55"/>
      <c r="FW27" s="55"/>
    </row>
    <row r="28" spans="1:179" s="57" customFormat="1" ht="9.75" customHeight="1" x14ac:dyDescent="0.15">
      <c r="A28" s="468" t="s">
        <v>151</v>
      </c>
      <c r="B28" s="213">
        <v>0</v>
      </c>
      <c r="C28" s="214">
        <v>0</v>
      </c>
      <c r="D28" s="224"/>
      <c r="E28" s="225"/>
      <c r="F28" s="215">
        <v>0</v>
      </c>
      <c r="G28" s="216">
        <v>0</v>
      </c>
      <c r="H28" s="223">
        <v>0</v>
      </c>
      <c r="I28" s="223">
        <v>0</v>
      </c>
      <c r="J28" s="217">
        <f t="shared" si="97"/>
        <v>0</v>
      </c>
      <c r="K28" s="223">
        <v>0</v>
      </c>
      <c r="L28" s="223">
        <v>0</v>
      </c>
      <c r="M28" s="223">
        <v>0</v>
      </c>
      <c r="N28" s="223">
        <v>0</v>
      </c>
      <c r="O28" s="217">
        <f t="shared" si="91"/>
        <v>0</v>
      </c>
      <c r="P28" s="493">
        <f>SUM(IF((1*(IF(ISBLANK(E28),C28,E28)))+IF(ISBLANK(D28),B28,D28) &lt; 0, 0, (1*(IF(ISBLANK(E28),C28,E28)))+IF(ISBLANK(D28),B28,D28)))</f>
        <v>0</v>
      </c>
      <c r="Q28" s="493">
        <f>SUM(IF((2*(IF(ISBLANK(E28),C28,E28)))+IF(ISBLANK(D28),B28,D28) &lt; 0, 0, (2*(IF(ISBLANK(E28),C28,E28)))+IF(ISBLANK(D28),B28,D28)))</f>
        <v>0</v>
      </c>
      <c r="R28" s="493">
        <f>SUM(IF((3*(IF(ISBLANK(E28),C28,E28)))+IF(ISBLANK(D28),B28,D28) &lt; 0, 0, (3*(IF(ISBLANK(E28),C28,E28)))+IF(ISBLANK(D28),B28,D28)))</f>
        <v>0</v>
      </c>
      <c r="S28" s="493">
        <f>SUM(IF((4*(IF(ISBLANK(E28),C28,E28)))+IF(ISBLANK(D28),B28,D28) &lt; 0, 0, (4*(IF(ISBLANK(E28),C28,E28)))+IF(ISBLANK(D28),B28,D28)))</f>
        <v>0</v>
      </c>
      <c r="T28" s="218">
        <f t="shared" si="96"/>
        <v>0</v>
      </c>
      <c r="U28" s="247"/>
      <c r="V28" s="213">
        <f>SUM(IF((6*(IF(ISBLANK(E28),C28,E28)))+IF(ISBLANK(D28),B28,D28) &lt; 0, 0, (6*(IF(ISBLANK(E28),C28,E28)))+IF(ISBLANK(D28),B28,D28)))*12</f>
        <v>0</v>
      </c>
      <c r="W28" s="219">
        <f>SUM(IF((8*(IF(ISBLANK(E28),C28,E28)))+IF(ISBLANK(D28),B28,D28) &lt; 0, 0, (8*(IF(ISBLANK(E28),C28,E28)))+IF(ISBLANK(D28),B28,D28)))*12</f>
        <v>0</v>
      </c>
      <c r="X28" s="220">
        <f>SUM(IF((10*(IF(ISBLANK(E28),C28,E28)))+IF(ISBLANK(D28),B28,D28) &lt; 0, 0, (10*(IF(ISBLANK(E28),C28,E28)))+IF(ISBLANK(D28),B28,D28)))*12</f>
        <v>0</v>
      </c>
      <c r="Y28" s="221"/>
      <c r="Z28" s="578">
        <v>0</v>
      </c>
      <c r="AA28" s="617"/>
      <c r="AB28" s="532">
        <f>SUM(AB18*F28)</f>
        <v>0</v>
      </c>
      <c r="AC28" s="492">
        <f>SUM(AC18*F28)</f>
        <v>0</v>
      </c>
      <c r="AD28" s="492">
        <f>SUM(AD18*F28)</f>
        <v>0</v>
      </c>
      <c r="AE28" s="492">
        <f t="shared" si="70"/>
        <v>0</v>
      </c>
      <c r="AF28" s="222"/>
      <c r="AG28" s="532">
        <f>SUM(AG18*G28)</f>
        <v>0</v>
      </c>
      <c r="AH28" s="492">
        <f>SUM(AH18*G28)</f>
        <v>0</v>
      </c>
      <c r="AI28" s="492">
        <f>SUM(AI18*G28)</f>
        <v>0</v>
      </c>
      <c r="AJ28" s="492">
        <f t="shared" si="71"/>
        <v>0</v>
      </c>
      <c r="AK28" s="222"/>
      <c r="AL28" s="532">
        <f t="shared" si="72"/>
        <v>0</v>
      </c>
      <c r="AM28" s="492">
        <f t="shared" si="73"/>
        <v>0</v>
      </c>
      <c r="AN28" s="492">
        <f t="shared" si="74"/>
        <v>0</v>
      </c>
      <c r="AO28" s="492">
        <f t="shared" si="75"/>
        <v>0</v>
      </c>
      <c r="AP28" s="222"/>
      <c r="AQ28" s="532">
        <f>SUM(AQ18*I28)</f>
        <v>0</v>
      </c>
      <c r="AR28" s="492">
        <f>SUM(AR18*I28)</f>
        <v>0</v>
      </c>
      <c r="AS28" s="492">
        <f>SUM(AS18*I28)</f>
        <v>0</v>
      </c>
      <c r="AT28" s="492">
        <f t="shared" si="76"/>
        <v>0</v>
      </c>
      <c r="AU28" s="222"/>
      <c r="AV28" s="617"/>
      <c r="AW28" s="532">
        <f>SUM(AW18*K28)</f>
        <v>0</v>
      </c>
      <c r="AX28" s="492">
        <f>SUM(AX18*K28)</f>
        <v>0</v>
      </c>
      <c r="AY28" s="492">
        <f>SUM(AY18*K28)</f>
        <v>0</v>
      </c>
      <c r="AZ28" s="492">
        <f t="shared" si="77"/>
        <v>0</v>
      </c>
      <c r="BA28" s="222"/>
      <c r="BB28" s="532">
        <f>SUM(BB18*L28)</f>
        <v>0</v>
      </c>
      <c r="BC28" s="492">
        <f>SUM(BC18*L28)</f>
        <v>0</v>
      </c>
      <c r="BD28" s="492">
        <f>SUM(BD18*L28)</f>
        <v>0</v>
      </c>
      <c r="BE28" s="492">
        <f t="shared" si="78"/>
        <v>0</v>
      </c>
      <c r="BF28" s="222"/>
      <c r="BG28" s="532">
        <f>SUM(BG18*M28)</f>
        <v>0</v>
      </c>
      <c r="BH28" s="492">
        <f>SUM(BH18*M28)</f>
        <v>0</v>
      </c>
      <c r="BI28" s="492">
        <f>SUM(BI18*M28)</f>
        <v>0</v>
      </c>
      <c r="BJ28" s="492">
        <f t="shared" si="79"/>
        <v>0</v>
      </c>
      <c r="BK28" s="222"/>
      <c r="BL28" s="532">
        <f>SUM(BL18*N28)</f>
        <v>0</v>
      </c>
      <c r="BM28" s="492">
        <f>SUM(BM18*N28)</f>
        <v>0</v>
      </c>
      <c r="BN28" s="492">
        <f>SUM(BN18*N28)</f>
        <v>0</v>
      </c>
      <c r="BO28" s="492">
        <f t="shared" si="80"/>
        <v>0</v>
      </c>
      <c r="BP28" s="222"/>
      <c r="BQ28" s="221"/>
      <c r="BR28" s="532">
        <f>SUM(BR18*P28)</f>
        <v>0</v>
      </c>
      <c r="BS28" s="492">
        <f>SUM(BS18*P28)</f>
        <v>0</v>
      </c>
      <c r="BT28" s="492">
        <f>SUM(BT18*P28)</f>
        <v>0</v>
      </c>
      <c r="BU28" s="492">
        <f t="shared" si="81"/>
        <v>0</v>
      </c>
      <c r="BV28" s="222"/>
      <c r="BW28" s="532">
        <f>SUM(BW18*Q28)</f>
        <v>0</v>
      </c>
      <c r="BX28" s="492">
        <f>SUM(BX18*Q28)</f>
        <v>0</v>
      </c>
      <c r="BY28" s="492">
        <f>SUM(BY18*Q28)</f>
        <v>0</v>
      </c>
      <c r="BZ28" s="492">
        <f t="shared" si="82"/>
        <v>0</v>
      </c>
      <c r="CA28" s="222"/>
      <c r="CB28" s="532">
        <f>SUM(CB18*R28)</f>
        <v>0</v>
      </c>
      <c r="CC28" s="492">
        <f>SUM(CC18*R28)</f>
        <v>0</v>
      </c>
      <c r="CD28" s="492">
        <f>SUM(CD18*R28)</f>
        <v>0</v>
      </c>
      <c r="CE28" s="492">
        <f t="shared" si="83"/>
        <v>0</v>
      </c>
      <c r="CF28" s="222"/>
      <c r="CG28" s="532">
        <f>SUM(CG18*S28)</f>
        <v>0</v>
      </c>
      <c r="CH28" s="492">
        <f>SUM(CH18*S28)</f>
        <v>0</v>
      </c>
      <c r="CI28" s="492">
        <f>SUM(CI18*S28)</f>
        <v>0</v>
      </c>
      <c r="CJ28" s="492">
        <f t="shared" si="84"/>
        <v>0</v>
      </c>
      <c r="CK28" s="222"/>
      <c r="CL28" s="55"/>
      <c r="CM28" s="55"/>
      <c r="CN28" s="55"/>
      <c r="CO28" s="55"/>
      <c r="CP28" s="55"/>
      <c r="CQ28" s="55"/>
      <c r="CR28" s="55"/>
      <c r="CS28" s="55"/>
      <c r="CT28" s="55"/>
      <c r="CU28" s="55"/>
      <c r="CV28" s="55"/>
      <c r="CW28" s="55"/>
      <c r="CX28" s="55"/>
      <c r="CY28" s="55"/>
      <c r="CZ28" s="55"/>
      <c r="DA28" s="55"/>
      <c r="DB28" s="55"/>
      <c r="DC28" s="55"/>
      <c r="DD28" s="55"/>
      <c r="DE28" s="55"/>
      <c r="DF28" s="55"/>
      <c r="DG28" s="55"/>
      <c r="DH28" s="55"/>
      <c r="DI28" s="55"/>
      <c r="DJ28" s="55"/>
      <c r="DK28" s="55"/>
      <c r="DL28" s="55"/>
      <c r="DM28" s="55"/>
      <c r="DN28" s="55"/>
      <c r="DO28" s="55"/>
      <c r="DP28" s="55"/>
      <c r="DQ28" s="55"/>
      <c r="DR28" s="55"/>
      <c r="DS28" s="55"/>
      <c r="DT28" s="55"/>
      <c r="DU28" s="55"/>
      <c r="DV28" s="55"/>
      <c r="DW28" s="55"/>
      <c r="DX28" s="55"/>
      <c r="DY28" s="55"/>
      <c r="DZ28" s="55"/>
      <c r="EA28" s="55"/>
      <c r="EB28" s="55"/>
      <c r="EC28" s="55"/>
      <c r="ED28" s="55"/>
      <c r="EE28" s="55"/>
      <c r="EF28" s="55"/>
      <c r="EG28" s="55"/>
      <c r="EH28" s="55"/>
      <c r="EI28" s="55"/>
      <c r="EJ28" s="55"/>
      <c r="EK28" s="55"/>
      <c r="EL28" s="55"/>
      <c r="EM28" s="55"/>
      <c r="EN28" s="55"/>
      <c r="EO28" s="55"/>
      <c r="EP28" s="55"/>
      <c r="EQ28" s="55"/>
      <c r="ER28" s="55"/>
      <c r="ES28" s="55"/>
      <c r="ET28" s="55"/>
      <c r="EU28" s="55"/>
      <c r="EV28" s="55"/>
      <c r="EW28" s="55"/>
      <c r="EX28" s="55"/>
      <c r="EY28" s="55"/>
      <c r="EZ28" s="55"/>
      <c r="FA28" s="55"/>
      <c r="FB28" s="55"/>
      <c r="FC28" s="55"/>
      <c r="FD28" s="55"/>
      <c r="FE28" s="55"/>
      <c r="FF28" s="55"/>
      <c r="FG28" s="55"/>
      <c r="FH28" s="55"/>
      <c r="FI28" s="55"/>
      <c r="FJ28" s="55"/>
      <c r="FK28" s="55"/>
      <c r="FL28" s="55"/>
      <c r="FM28" s="55"/>
      <c r="FN28" s="55"/>
      <c r="FO28" s="55"/>
      <c r="FP28" s="55"/>
      <c r="FQ28" s="55"/>
      <c r="FR28" s="55"/>
      <c r="FS28" s="55"/>
      <c r="FT28" s="55"/>
      <c r="FU28" s="55"/>
      <c r="FV28" s="55"/>
      <c r="FW28" s="55"/>
    </row>
    <row r="29" spans="1:179" s="57" customFormat="1" ht="9.75" customHeight="1" x14ac:dyDescent="0.15">
      <c r="A29" s="487" t="s">
        <v>152</v>
      </c>
      <c r="B29" s="697" t="s">
        <v>159</v>
      </c>
      <c r="C29" s="698"/>
      <c r="D29" s="695"/>
      <c r="E29" s="696"/>
      <c r="F29" s="226">
        <v>0</v>
      </c>
      <c r="G29" s="227">
        <v>0</v>
      </c>
      <c r="H29" s="227">
        <v>0</v>
      </c>
      <c r="I29" s="227">
        <v>0</v>
      </c>
      <c r="J29" s="217">
        <f t="shared" si="97"/>
        <v>0</v>
      </c>
      <c r="K29" s="227">
        <v>0</v>
      </c>
      <c r="L29" s="227">
        <v>0</v>
      </c>
      <c r="M29" s="227">
        <v>0</v>
      </c>
      <c r="N29" s="227">
        <v>0</v>
      </c>
      <c r="O29" s="217">
        <f t="shared" si="91"/>
        <v>0</v>
      </c>
      <c r="P29" s="227">
        <v>0</v>
      </c>
      <c r="Q29" s="227">
        <v>0</v>
      </c>
      <c r="R29" s="227">
        <v>0</v>
      </c>
      <c r="S29" s="227">
        <v>0</v>
      </c>
      <c r="T29" s="218">
        <f t="shared" si="96"/>
        <v>0</v>
      </c>
      <c r="U29" s="221"/>
      <c r="V29" s="239">
        <v>0</v>
      </c>
      <c r="W29" s="217">
        <v>0</v>
      </c>
      <c r="X29" s="242">
        <v>0</v>
      </c>
      <c r="Y29" s="221"/>
      <c r="Z29" s="578">
        <v>0</v>
      </c>
      <c r="AA29" s="617"/>
      <c r="AB29" s="532">
        <f>SUM(F29/3)</f>
        <v>0</v>
      </c>
      <c r="AC29" s="492">
        <f>SUM(F29/3)</f>
        <v>0</v>
      </c>
      <c r="AD29" s="492">
        <f>SUM(F29/3)</f>
        <v>0</v>
      </c>
      <c r="AE29" s="492">
        <f t="shared" si="70"/>
        <v>0</v>
      </c>
      <c r="AF29" s="222"/>
      <c r="AG29" s="532">
        <f>SUM(G29/3)</f>
        <v>0</v>
      </c>
      <c r="AH29" s="492">
        <f>SUM(G29/3)</f>
        <v>0</v>
      </c>
      <c r="AI29" s="492">
        <f>SUM(G29/3)</f>
        <v>0</v>
      </c>
      <c r="AJ29" s="492">
        <f t="shared" si="71"/>
        <v>0</v>
      </c>
      <c r="AK29" s="222"/>
      <c r="AL29" s="532">
        <f>SUM(H29/3)</f>
        <v>0</v>
      </c>
      <c r="AM29" s="492">
        <f>SUM(H29/3)</f>
        <v>0</v>
      </c>
      <c r="AN29" s="492">
        <f>SUM(H29/3)</f>
        <v>0</v>
      </c>
      <c r="AO29" s="492">
        <f t="shared" si="75"/>
        <v>0</v>
      </c>
      <c r="AP29" s="222"/>
      <c r="AQ29" s="532">
        <f>SUM(I29/3)</f>
        <v>0</v>
      </c>
      <c r="AR29" s="492">
        <f>SUM(I29/3)</f>
        <v>0</v>
      </c>
      <c r="AS29" s="492">
        <f>SUM(I29/3)</f>
        <v>0</v>
      </c>
      <c r="AT29" s="492">
        <f t="shared" si="76"/>
        <v>0</v>
      </c>
      <c r="AU29" s="222"/>
      <c r="AV29" s="617"/>
      <c r="AW29" s="532">
        <f>SUM(K29/3)</f>
        <v>0</v>
      </c>
      <c r="AX29" s="492">
        <f>SUM(K29/3)</f>
        <v>0</v>
      </c>
      <c r="AY29" s="492">
        <f>SUM(K29/3)</f>
        <v>0</v>
      </c>
      <c r="AZ29" s="492">
        <f t="shared" si="77"/>
        <v>0</v>
      </c>
      <c r="BA29" s="222"/>
      <c r="BB29" s="532">
        <f>SUM(L29/3)</f>
        <v>0</v>
      </c>
      <c r="BC29" s="492">
        <f>SUM(L29/3)</f>
        <v>0</v>
      </c>
      <c r="BD29" s="492">
        <f>SUM(L29/3)</f>
        <v>0</v>
      </c>
      <c r="BE29" s="492">
        <f t="shared" si="78"/>
        <v>0</v>
      </c>
      <c r="BF29" s="222"/>
      <c r="BG29" s="532">
        <f>SUM(M29/3)</f>
        <v>0</v>
      </c>
      <c r="BH29" s="492">
        <f>SUM(M29/3)</f>
        <v>0</v>
      </c>
      <c r="BI29" s="492">
        <f>SUM(M29/3)</f>
        <v>0</v>
      </c>
      <c r="BJ29" s="492">
        <f t="shared" si="79"/>
        <v>0</v>
      </c>
      <c r="BK29" s="222"/>
      <c r="BL29" s="532">
        <f>SUM(N29/3)</f>
        <v>0</v>
      </c>
      <c r="BM29" s="492">
        <f>SUM(N29/3)</f>
        <v>0</v>
      </c>
      <c r="BN29" s="492">
        <f>SUM(N29/3)</f>
        <v>0</v>
      </c>
      <c r="BO29" s="492">
        <f t="shared" si="80"/>
        <v>0</v>
      </c>
      <c r="BP29" s="222"/>
      <c r="BQ29" s="221"/>
      <c r="BR29" s="532">
        <f>SUM(P29/3)</f>
        <v>0</v>
      </c>
      <c r="BS29" s="492">
        <f>SUM(P29/3)</f>
        <v>0</v>
      </c>
      <c r="BT29" s="492">
        <f>SUM(P29/3)</f>
        <v>0</v>
      </c>
      <c r="BU29" s="492">
        <f t="shared" si="81"/>
        <v>0</v>
      </c>
      <c r="BV29" s="222"/>
      <c r="BW29" s="532">
        <f>SUM(Q29/3)</f>
        <v>0</v>
      </c>
      <c r="BX29" s="492">
        <f>SUM(Q29/3)</f>
        <v>0</v>
      </c>
      <c r="BY29" s="492">
        <f>SUM(Q29/3)</f>
        <v>0</v>
      </c>
      <c r="BZ29" s="492">
        <f t="shared" si="82"/>
        <v>0</v>
      </c>
      <c r="CA29" s="222"/>
      <c r="CB29" s="532">
        <f>SUM(R29/3)</f>
        <v>0</v>
      </c>
      <c r="CC29" s="492">
        <f>SUM(R29/3)</f>
        <v>0</v>
      </c>
      <c r="CD29" s="492">
        <f>SUM(R29/3)</f>
        <v>0</v>
      </c>
      <c r="CE29" s="492">
        <f t="shared" si="83"/>
        <v>0</v>
      </c>
      <c r="CF29" s="222"/>
      <c r="CG29" s="532">
        <f>SUM(S29/3)</f>
        <v>0</v>
      </c>
      <c r="CH29" s="492">
        <f>SUM(S29/3)</f>
        <v>0</v>
      </c>
      <c r="CI29" s="492">
        <f>SUM(S29/3)</f>
        <v>0</v>
      </c>
      <c r="CJ29" s="492">
        <f t="shared" si="84"/>
        <v>0</v>
      </c>
      <c r="CK29" s="222"/>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row>
    <row r="30" spans="1:179" s="57" customFormat="1" ht="9.75" customHeight="1" x14ac:dyDescent="0.15">
      <c r="A30" s="422" t="s">
        <v>219</v>
      </c>
      <c r="B30" s="185"/>
      <c r="C30" s="186"/>
      <c r="D30" s="636"/>
      <c r="E30" s="637"/>
      <c r="F30" s="419">
        <f>AE30</f>
        <v>0</v>
      </c>
      <c r="G30" s="420">
        <f>AJ30</f>
        <v>0</v>
      </c>
      <c r="H30" s="420">
        <f>AO30</f>
        <v>17993.912384890558</v>
      </c>
      <c r="I30" s="420">
        <f>AT30</f>
        <v>97389.270813391558</v>
      </c>
      <c r="J30" s="211">
        <f>SUM(F30:I30)</f>
        <v>115383.18319828212</v>
      </c>
      <c r="K30" s="420">
        <f>AZ30</f>
        <v>202157.57184568781</v>
      </c>
      <c r="L30" s="420">
        <f>BE30</f>
        <v>413781.12755369837</v>
      </c>
      <c r="M30" s="420">
        <f>BJ30</f>
        <v>754137.60989572306</v>
      </c>
      <c r="N30" s="420">
        <f>BO30</f>
        <v>1360352.5349712914</v>
      </c>
      <c r="O30" s="211">
        <f>SUM(K30:N30)</f>
        <v>2730428.8442664007</v>
      </c>
      <c r="P30" s="420">
        <f>BU30</f>
        <v>2489171.3646994596</v>
      </c>
      <c r="Q30" s="420">
        <f>BZ30</f>
        <v>4631814.2023573956</v>
      </c>
      <c r="R30" s="420">
        <f>CE30</f>
        <v>8816908.4287794307</v>
      </c>
      <c r="S30" s="420">
        <f>CJ30</f>
        <v>17233027.014297996</v>
      </c>
      <c r="T30" s="230">
        <f>SUM(P30:S30)</f>
        <v>33170921.01013428</v>
      </c>
      <c r="U30" s="232"/>
      <c r="V30" s="231">
        <f>SUM(((S18+V18)/2)*(V21+V22+V23+V24+V25+V26+V27+V28))</f>
        <v>192153676.86954805</v>
      </c>
      <c r="W30" s="211">
        <f>SUM(((V18+W18)/2)*(W21+W22+W23+W24+W25+W26+W27+W28))</f>
        <v>567211199.47110546</v>
      </c>
      <c r="X30" s="212">
        <f>SUM(((W18+X18)/2)*(X21+X22+X23+X24+X25+X26+X27+X28))</f>
        <v>1285293740.5424666</v>
      </c>
      <c r="Y30" s="232"/>
      <c r="Z30" s="579">
        <v>0</v>
      </c>
      <c r="AA30" s="618"/>
      <c r="AB30" s="535">
        <f>SUM(AB21:AB29)</f>
        <v>0</v>
      </c>
      <c r="AC30" s="420">
        <f>SUM(AC21:AC29)</f>
        <v>0</v>
      </c>
      <c r="AD30" s="420">
        <f>SUM(AD21:AD29)</f>
        <v>0</v>
      </c>
      <c r="AE30" s="211">
        <f>SUM(AB30:AD30)</f>
        <v>0</v>
      </c>
      <c r="AF30" s="212"/>
      <c r="AG30" s="535">
        <f>SUM(AG21:AG29)</f>
        <v>0</v>
      </c>
      <c r="AH30" s="420">
        <f>SUM(AH21:AH29)</f>
        <v>0</v>
      </c>
      <c r="AI30" s="420">
        <f>SUM(AI21:AI29)</f>
        <v>0</v>
      </c>
      <c r="AJ30" s="211">
        <f>SUM(AG30:AI30)</f>
        <v>0</v>
      </c>
      <c r="AK30" s="212"/>
      <c r="AL30" s="535">
        <f>SUM(AL21:AL29)</f>
        <v>3666.086194365404</v>
      </c>
      <c r="AM30" s="420">
        <f>SUM(AM21:AM29)</f>
        <v>5945.0059846644208</v>
      </c>
      <c r="AN30" s="420">
        <f>SUM(AN21:AN29)</f>
        <v>8382.8202058607349</v>
      </c>
      <c r="AO30" s="211">
        <f>SUM(AL30:AN30)</f>
        <v>17993.912384890558</v>
      </c>
      <c r="AP30" s="212"/>
      <c r="AQ30" s="535">
        <f>SUM(AQ21:AQ29)</f>
        <v>25966.478791992609</v>
      </c>
      <c r="AR30" s="420">
        <f>SUM(AR21:AR29)</f>
        <v>32367.657632102491</v>
      </c>
      <c r="AS30" s="420">
        <f>SUM(AS21:AS29)</f>
        <v>39055.134389296458</v>
      </c>
      <c r="AT30" s="211">
        <f>SUM(AQ30:AS30)</f>
        <v>97389.270813391558</v>
      </c>
      <c r="AU30" s="212"/>
      <c r="AV30" s="618"/>
      <c r="AW30" s="535">
        <f>SUM(AW21:AW29)</f>
        <v>58316.462016040467</v>
      </c>
      <c r="AX30" s="420">
        <f>SUM(AX21:AX29)</f>
        <v>67319.934172339112</v>
      </c>
      <c r="AY30" s="420">
        <f>SUM(AY21:AY29)</f>
        <v>76521.175657308238</v>
      </c>
      <c r="AZ30" s="211">
        <f>SUM(AW30:AY30)</f>
        <v>202157.57184568781</v>
      </c>
      <c r="BA30" s="212"/>
      <c r="BB30" s="535">
        <f>SUM(BB21:BB29)</f>
        <v>122072.06284378951</v>
      </c>
      <c r="BC30" s="420">
        <f>SUM(BC21:BC29)</f>
        <v>137911.42611137035</v>
      </c>
      <c r="BD30" s="420">
        <f>SUM(BD21:BD29)</f>
        <v>153797.63859853856</v>
      </c>
      <c r="BE30" s="211">
        <f>SUM(BB30:BD30)</f>
        <v>413781.12755369837</v>
      </c>
      <c r="BF30" s="212"/>
      <c r="BG30" s="535">
        <f>SUM(BG21:BG29)</f>
        <v>224012.31981659899</v>
      </c>
      <c r="BH30" s="420">
        <f>SUM(BH21:BH29)</f>
        <v>251325.07812458591</v>
      </c>
      <c r="BI30" s="420">
        <f>SUM(BI21:BI29)</f>
        <v>278800.21195453813</v>
      </c>
      <c r="BJ30" s="211">
        <f>SUM(BG30:BI30)</f>
        <v>754137.60989572306</v>
      </c>
      <c r="BK30" s="212"/>
      <c r="BL30" s="535">
        <f>SUM(BL21:BL29)</f>
        <v>396057.2407044695</v>
      </c>
      <c r="BM30" s="420">
        <f>SUM(BM21:BM29)</f>
        <v>453166.67992313567</v>
      </c>
      <c r="BN30" s="420">
        <f>SUM(BN21:BN29)</f>
        <v>511128.61434368632</v>
      </c>
      <c r="BO30" s="211">
        <f>SUM(BL30:BN30)</f>
        <v>1360352.5349712914</v>
      </c>
      <c r="BP30" s="212"/>
      <c r="BQ30" s="232"/>
      <c r="BR30" s="535">
        <f>SUM(BR21:BR29)</f>
        <v>714507.42968931794</v>
      </c>
      <c r="BS30" s="420">
        <f>SUM(BS21:BS29)</f>
        <v>828813.2037469151</v>
      </c>
      <c r="BT30" s="420">
        <f>SUM(BT21:BT29)</f>
        <v>945850.73126322636</v>
      </c>
      <c r="BU30" s="211">
        <f>SUM(BR30:BT30)</f>
        <v>2489171.3646994596</v>
      </c>
      <c r="BV30" s="212"/>
      <c r="BW30" s="535">
        <f>SUM(BW21:BW29)</f>
        <v>1311955.3042933478</v>
      </c>
      <c r="BX30" s="420">
        <f>SUM(BX21:BX29)</f>
        <v>1541425.1186866588</v>
      </c>
      <c r="BY30" s="420">
        <f>SUM(BY21:BY29)</f>
        <v>1778433.7793773885</v>
      </c>
      <c r="BZ30" s="211">
        <f>SUM(BW30:BY30)</f>
        <v>4631814.2023573956</v>
      </c>
      <c r="CA30" s="212"/>
      <c r="CB30" s="535">
        <f>SUM(CB21:CB29)</f>
        <v>2463475.8627245426</v>
      </c>
      <c r="CC30" s="420">
        <f>SUM(CC21:CC29)</f>
        <v>2932438.2724696654</v>
      </c>
      <c r="CD30" s="420">
        <f>SUM(CD21:CD29)</f>
        <v>3420994.2935852231</v>
      </c>
      <c r="CE30" s="211">
        <f>SUM(CB30:CD30)</f>
        <v>8816908.4287794307</v>
      </c>
      <c r="CF30" s="212"/>
      <c r="CG30" s="535">
        <f>SUM(CG21:CG29)</f>
        <v>4750408.0530133191</v>
      </c>
      <c r="CH30" s="420">
        <f>SUM(CH21:CH29)</f>
        <v>5727836.2790340679</v>
      </c>
      <c r="CI30" s="420">
        <f>SUM(CI21:CI29)</f>
        <v>6754782.6822506078</v>
      </c>
      <c r="CJ30" s="233">
        <f>SUM(CG30:CI30)</f>
        <v>17233027.014297996</v>
      </c>
      <c r="CK30" s="212"/>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row>
    <row r="31" spans="1:179" s="55" customFormat="1" ht="4.5" customHeight="1" x14ac:dyDescent="0.15">
      <c r="A31" s="189"/>
      <c r="B31" s="190"/>
      <c r="C31" s="191"/>
      <c r="D31" s="192"/>
      <c r="E31" s="193"/>
      <c r="F31" s="234"/>
      <c r="G31" s="196"/>
      <c r="H31" s="196"/>
      <c r="I31" s="196"/>
      <c r="J31" s="196"/>
      <c r="K31" s="196"/>
      <c r="L31" s="196"/>
      <c r="M31" s="196"/>
      <c r="N31" s="196"/>
      <c r="O31" s="196"/>
      <c r="P31" s="196"/>
      <c r="Q31" s="196"/>
      <c r="R31" s="196"/>
      <c r="S31" s="196"/>
      <c r="T31" s="197"/>
      <c r="U31" s="235"/>
      <c r="V31" s="192"/>
      <c r="W31" s="196"/>
      <c r="X31" s="193"/>
      <c r="Y31" s="235"/>
      <c r="Z31" s="580"/>
      <c r="AA31" s="189"/>
      <c r="AB31" s="192"/>
      <c r="AC31" s="196"/>
      <c r="AD31" s="196"/>
      <c r="AE31" s="196"/>
      <c r="AF31" s="193"/>
      <c r="AG31" s="192"/>
      <c r="AH31" s="196"/>
      <c r="AI31" s="196"/>
      <c r="AJ31" s="196"/>
      <c r="AK31" s="193"/>
      <c r="AL31" s="192"/>
      <c r="AM31" s="196"/>
      <c r="AN31" s="196"/>
      <c r="AO31" s="196"/>
      <c r="AP31" s="193"/>
      <c r="AQ31" s="192"/>
      <c r="AR31" s="196"/>
      <c r="AS31" s="196"/>
      <c r="AT31" s="196"/>
      <c r="AU31" s="193"/>
      <c r="AV31" s="189"/>
      <c r="AW31" s="192"/>
      <c r="AX31" s="196"/>
      <c r="AY31" s="196"/>
      <c r="AZ31" s="196"/>
      <c r="BA31" s="193"/>
      <c r="BB31" s="192"/>
      <c r="BC31" s="196"/>
      <c r="BD31" s="196"/>
      <c r="BE31" s="196"/>
      <c r="BF31" s="193"/>
      <c r="BG31" s="192"/>
      <c r="BH31" s="196"/>
      <c r="BI31" s="196"/>
      <c r="BJ31" s="196"/>
      <c r="BK31" s="193"/>
      <c r="BL31" s="192"/>
      <c r="BM31" s="196"/>
      <c r="BN31" s="196"/>
      <c r="BO31" s="196"/>
      <c r="BP31" s="193"/>
      <c r="BQ31" s="235"/>
      <c r="BR31" s="192"/>
      <c r="BS31" s="196"/>
      <c r="BT31" s="196"/>
      <c r="BU31" s="196"/>
      <c r="BV31" s="193"/>
      <c r="BW31" s="192"/>
      <c r="BX31" s="196"/>
      <c r="BY31" s="196"/>
      <c r="BZ31" s="196"/>
      <c r="CA31" s="193"/>
      <c r="CB31" s="192"/>
      <c r="CC31" s="196"/>
      <c r="CD31" s="196"/>
      <c r="CE31" s="196"/>
      <c r="CF31" s="193"/>
      <c r="CG31" s="192"/>
      <c r="CH31" s="196"/>
      <c r="CI31" s="196"/>
      <c r="CJ31" s="196"/>
      <c r="CK31" s="193"/>
    </row>
    <row r="32" spans="1:179" s="57" customFormat="1" ht="9.75" customHeight="1" x14ac:dyDescent="0.15">
      <c r="A32" s="486" t="s">
        <v>220</v>
      </c>
      <c r="B32" s="125"/>
      <c r="C32" s="202"/>
      <c r="D32" s="630"/>
      <c r="E32" s="631"/>
      <c r="F32" s="489"/>
      <c r="G32" s="490"/>
      <c r="H32" s="490"/>
      <c r="I32" s="490"/>
      <c r="J32" s="210"/>
      <c r="K32" s="490"/>
      <c r="L32" s="490"/>
      <c r="M32" s="490"/>
      <c r="N32" s="490"/>
      <c r="O32" s="210"/>
      <c r="P32" s="490"/>
      <c r="Q32" s="490"/>
      <c r="R32" s="490"/>
      <c r="S32" s="490"/>
      <c r="T32" s="236"/>
      <c r="U32" s="232"/>
      <c r="V32" s="237"/>
      <c r="W32" s="210"/>
      <c r="X32" s="238"/>
      <c r="Y32" s="232"/>
      <c r="Z32" s="577"/>
      <c r="AA32" s="618"/>
      <c r="AB32" s="594"/>
      <c r="AC32" s="490"/>
      <c r="AD32" s="490"/>
      <c r="AE32" s="490"/>
      <c r="AF32" s="212"/>
      <c r="AG32" s="594"/>
      <c r="AH32" s="490"/>
      <c r="AI32" s="490"/>
      <c r="AJ32" s="490"/>
      <c r="AK32" s="212"/>
      <c r="AL32" s="594"/>
      <c r="AM32" s="490"/>
      <c r="AN32" s="490"/>
      <c r="AO32" s="490"/>
      <c r="AP32" s="212"/>
      <c r="AQ32" s="594"/>
      <c r="AR32" s="490"/>
      <c r="AS32" s="490"/>
      <c r="AT32" s="490"/>
      <c r="AU32" s="212"/>
      <c r="AV32" s="618"/>
      <c r="AW32" s="594"/>
      <c r="AX32" s="490"/>
      <c r="AY32" s="490"/>
      <c r="AZ32" s="490"/>
      <c r="BA32" s="212"/>
      <c r="BB32" s="594"/>
      <c r="BC32" s="490"/>
      <c r="BD32" s="490"/>
      <c r="BE32" s="490"/>
      <c r="BF32" s="212"/>
      <c r="BG32" s="594"/>
      <c r="BH32" s="490"/>
      <c r="BI32" s="490"/>
      <c r="BJ32" s="490"/>
      <c r="BK32" s="212"/>
      <c r="BL32" s="594"/>
      <c r="BM32" s="490"/>
      <c r="BN32" s="490"/>
      <c r="BO32" s="490"/>
      <c r="BP32" s="212"/>
      <c r="BQ32" s="232"/>
      <c r="BR32" s="594"/>
      <c r="BS32" s="490"/>
      <c r="BT32" s="490"/>
      <c r="BU32" s="490"/>
      <c r="BV32" s="212"/>
      <c r="BW32" s="594"/>
      <c r="BX32" s="490"/>
      <c r="BY32" s="490"/>
      <c r="BZ32" s="490"/>
      <c r="CA32" s="212"/>
      <c r="CB32" s="594"/>
      <c r="CC32" s="490"/>
      <c r="CD32" s="490"/>
      <c r="CE32" s="490"/>
      <c r="CF32" s="212"/>
      <c r="CG32" s="594"/>
      <c r="CH32" s="490"/>
      <c r="CI32" s="490"/>
      <c r="CJ32" s="490"/>
      <c r="CK32" s="212"/>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row>
    <row r="33" spans="1:179" s="57" customFormat="1" ht="9.75" customHeight="1" x14ac:dyDescent="0.15">
      <c r="A33" s="488" t="s">
        <v>153</v>
      </c>
      <c r="B33" s="239">
        <v>0</v>
      </c>
      <c r="C33" s="126">
        <v>0.04</v>
      </c>
      <c r="D33" s="228"/>
      <c r="E33" s="624"/>
      <c r="F33" s="491">
        <f>SUM((IF(ISBLANK(D33),B33,D33))+(F34*(IF(ISBLANK(E33),C33,E33))))</f>
        <v>800</v>
      </c>
      <c r="G33" s="492">
        <f>SUM((IF(ISBLANK(D33),B33,D33))+(G34*(IF(ISBLANK(E33),C33,E33))))</f>
        <v>800</v>
      </c>
      <c r="H33" s="492">
        <f>SUM((IF(ISBLANK(D33),B33,D33))+(H34*(IF(ISBLANK(E33),C33,E33))))</f>
        <v>823.99188317985409</v>
      </c>
      <c r="I33" s="492">
        <f>SUM((IF(ISBLANK(D33),B33,D33))+(I34*(IF(ISBLANK(E33),C33,E33))))</f>
        <v>947.35162621015002</v>
      </c>
      <c r="J33" s="217">
        <f>SUM(AE33+AJ33+AO33+AT33)</f>
        <v>10114.030528170013</v>
      </c>
      <c r="K33" s="492">
        <f>SUM((IF(ISBLANK(D33),B33,D33))+(K34*(IF(ISBLANK(E33),C33,E33))))</f>
        <v>1189.9407124249753</v>
      </c>
      <c r="L33" s="492">
        <f>SUM((IF(ISBLANK(D33),B33,D33))+(L34*(IF(ISBLANK(E33),C33,E33))))</f>
        <v>1658.8926569858336</v>
      </c>
      <c r="M33" s="492">
        <f>SUM((IF(ISBLANK(D33),B33,D33))+(M34*(IF(ISBLANK(E33),C33,E33))))</f>
        <v>2463.3061075412716</v>
      </c>
      <c r="N33" s="492">
        <f>SUM((IF(ISBLANK(D33),B33,D33))+(N34*(IF(ISBLANK(E33),C33,E33))))</f>
        <v>3823.6586425125633</v>
      </c>
      <c r="O33" s="217">
        <f>SUM(AZ33+BE33+BJ33+BO33)</f>
        <v>27407.394358393933</v>
      </c>
      <c r="P33" s="492">
        <f>SUM((IF(ISBLANK(D33),B33,D33))+(P34*(IF(ISBLANK(E33),C33,E33))))</f>
        <v>6146.8852495653928</v>
      </c>
      <c r="Q33" s="492">
        <f>SUM((IF(ISBLANK(D33),B33,D33))+(Q34*(IF(ISBLANK(E33),C33,E33))))</f>
        <v>10161.124224941803</v>
      </c>
      <c r="R33" s="492">
        <f>SUM((IF(ISBLANK(D33),B33,D33))+(R34*(IF(ISBLANK(E33),C33,E33))))</f>
        <v>17214.65096796535</v>
      </c>
      <c r="S33" s="492">
        <f>SUM((IF(ISBLANK(D33),B33,D33))+(S34*(IF(ISBLANK(E33),C33,E33))))</f>
        <v>29852.204111783882</v>
      </c>
      <c r="T33" s="218">
        <f>SUM(BU33+BZ33+CE33+CJ33)</f>
        <v>190124.59366276927</v>
      </c>
      <c r="U33" s="221"/>
      <c r="V33" s="239">
        <f>SUM((IF(ISBLANK(D33),B33,D33))+(V34*(IF(ISBLANK(E33),C33,E33))))</f>
        <v>1895455.8642977912</v>
      </c>
      <c r="W33" s="217">
        <f>SUM((IF(ISBLANK(D33),B33,D33))+(W34*(IF(ISBLANK(E33),C33,E33))))</f>
        <v>2916436.0233457815</v>
      </c>
      <c r="X33" s="242">
        <f>SUM((IF(ISBLANK(D33),B33,D33))+(X34*(IF(ISBLANK(E33),C33,E33))))</f>
        <v>4972906.0082137277</v>
      </c>
      <c r="Y33" s="221"/>
      <c r="Z33" s="578">
        <f>SUM(11102+10095+8000)</f>
        <v>29197</v>
      </c>
      <c r="AA33" s="617"/>
      <c r="AB33" s="532">
        <f>F33</f>
        <v>800</v>
      </c>
      <c r="AC33" s="492">
        <f>F33</f>
        <v>800</v>
      </c>
      <c r="AD33" s="492">
        <f>F33</f>
        <v>800</v>
      </c>
      <c r="AE33" s="492">
        <f t="shared" ref="AE33:AE43" si="98">SUM(AB33:AD33)</f>
        <v>2400</v>
      </c>
      <c r="AF33" s="222"/>
      <c r="AG33" s="532">
        <f>G33</f>
        <v>800</v>
      </c>
      <c r="AH33" s="492">
        <f>G33</f>
        <v>800</v>
      </c>
      <c r="AI33" s="492">
        <f>G33</f>
        <v>800</v>
      </c>
      <c r="AJ33" s="492">
        <f t="shared" ref="AJ33:AJ46" si="99">SUM(AG33:AI33)</f>
        <v>2400</v>
      </c>
      <c r="AK33" s="222"/>
      <c r="AL33" s="532">
        <f>H33</f>
        <v>823.99188317985409</v>
      </c>
      <c r="AM33" s="492">
        <f>H33</f>
        <v>823.99188317985409</v>
      </c>
      <c r="AN33" s="492">
        <f>H33</f>
        <v>823.99188317985409</v>
      </c>
      <c r="AO33" s="492">
        <f t="shared" ref="AO33:AO43" si="100">SUM(AL33:AN33)</f>
        <v>2471.9756495395623</v>
      </c>
      <c r="AP33" s="222"/>
      <c r="AQ33" s="532">
        <f>I33</f>
        <v>947.35162621015002</v>
      </c>
      <c r="AR33" s="492">
        <f>I33</f>
        <v>947.35162621015002</v>
      </c>
      <c r="AS33" s="492">
        <f>I33</f>
        <v>947.35162621015002</v>
      </c>
      <c r="AT33" s="492">
        <f t="shared" ref="AT33:AT43" si="101">SUM(AQ33:AS33)</f>
        <v>2842.0548786304498</v>
      </c>
      <c r="AU33" s="222"/>
      <c r="AV33" s="617"/>
      <c r="AW33" s="532">
        <f>K33</f>
        <v>1189.9407124249753</v>
      </c>
      <c r="AX33" s="492">
        <f>K33</f>
        <v>1189.9407124249753</v>
      </c>
      <c r="AY33" s="492">
        <f>K33</f>
        <v>1189.9407124249753</v>
      </c>
      <c r="AZ33" s="492">
        <f t="shared" ref="AZ33:AZ43" si="102">SUM(AW33:AY33)</f>
        <v>3569.8221372749258</v>
      </c>
      <c r="BA33" s="222"/>
      <c r="BB33" s="532">
        <f>L33</f>
        <v>1658.8926569858336</v>
      </c>
      <c r="BC33" s="492">
        <f>L33</f>
        <v>1658.8926569858336</v>
      </c>
      <c r="BD33" s="492">
        <f>L33</f>
        <v>1658.8926569858336</v>
      </c>
      <c r="BE33" s="492">
        <f t="shared" ref="BE33:BE43" si="103">SUM(BB33:BD33)</f>
        <v>4976.6779709575003</v>
      </c>
      <c r="BF33" s="222"/>
      <c r="BG33" s="532">
        <f>M33</f>
        <v>2463.3061075412716</v>
      </c>
      <c r="BH33" s="492">
        <f>M33</f>
        <v>2463.3061075412716</v>
      </c>
      <c r="BI33" s="492">
        <f>M33</f>
        <v>2463.3061075412716</v>
      </c>
      <c r="BJ33" s="492">
        <f t="shared" ref="BJ33:BJ43" si="104">SUM(BG33:BI33)</f>
        <v>7389.9183226238147</v>
      </c>
      <c r="BK33" s="222"/>
      <c r="BL33" s="532">
        <f>N33</f>
        <v>3823.6586425125633</v>
      </c>
      <c r="BM33" s="492">
        <f>N33</f>
        <v>3823.6586425125633</v>
      </c>
      <c r="BN33" s="492">
        <f>N33</f>
        <v>3823.6586425125633</v>
      </c>
      <c r="BO33" s="492">
        <f t="shared" ref="BO33:BO43" si="105">SUM(BL33:BN33)</f>
        <v>11470.975927537689</v>
      </c>
      <c r="BP33" s="222"/>
      <c r="BQ33" s="221"/>
      <c r="BR33" s="532">
        <f>P33</f>
        <v>6146.8852495653928</v>
      </c>
      <c r="BS33" s="492">
        <f>P33</f>
        <v>6146.8852495653928</v>
      </c>
      <c r="BT33" s="492">
        <f>P33</f>
        <v>6146.8852495653928</v>
      </c>
      <c r="BU33" s="492">
        <f t="shared" ref="BU33:BU43" si="106">SUM(BR33:BT33)</f>
        <v>18440.655748696179</v>
      </c>
      <c r="BV33" s="222"/>
      <c r="BW33" s="532">
        <f>Q33</f>
        <v>10161.124224941803</v>
      </c>
      <c r="BX33" s="492">
        <f>Q33</f>
        <v>10161.124224941803</v>
      </c>
      <c r="BY33" s="492">
        <f>Q33</f>
        <v>10161.124224941803</v>
      </c>
      <c r="BZ33" s="492">
        <f t="shared" ref="BZ33:BZ43" si="107">SUM(BW33:BY33)</f>
        <v>30483.372674825408</v>
      </c>
      <c r="CA33" s="222"/>
      <c r="CB33" s="532">
        <f>R33</f>
        <v>17214.65096796535</v>
      </c>
      <c r="CC33" s="492">
        <f>R33</f>
        <v>17214.65096796535</v>
      </c>
      <c r="CD33" s="492">
        <f>R33</f>
        <v>17214.65096796535</v>
      </c>
      <c r="CE33" s="492">
        <f t="shared" ref="CE33:CE43" si="108">SUM(CB33:CD33)</f>
        <v>51643.952903896046</v>
      </c>
      <c r="CF33" s="222"/>
      <c r="CG33" s="532">
        <f>S33</f>
        <v>29852.204111783882</v>
      </c>
      <c r="CH33" s="492">
        <f>S33</f>
        <v>29852.204111783882</v>
      </c>
      <c r="CI33" s="492">
        <f>S33</f>
        <v>29852.204111783882</v>
      </c>
      <c r="CJ33" s="492">
        <f t="shared" ref="CJ33:CJ43" si="109">SUM(CG33:CI33)</f>
        <v>89556.612335351645</v>
      </c>
      <c r="CK33" s="222"/>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row>
    <row r="34" spans="1:179" s="57" customFormat="1" ht="9.75" customHeight="1" x14ac:dyDescent="0.15">
      <c r="A34" s="488" t="s">
        <v>154</v>
      </c>
      <c r="B34" s="145">
        <v>0.1</v>
      </c>
      <c r="C34" s="126">
        <v>-5.0000000000000001E-3</v>
      </c>
      <c r="D34" s="291"/>
      <c r="E34" s="624"/>
      <c r="F34" s="226">
        <v>20000</v>
      </c>
      <c r="G34" s="227">
        <v>20000</v>
      </c>
      <c r="H34" s="492">
        <f>SUM((IF(ISBLANK(D34),B34,D34)*(H30/3))+(G34))</f>
        <v>20599.797079496351</v>
      </c>
      <c r="I34" s="492">
        <f>SUM(IF(ISBLANK(D34),      (IF((1*(IF(ISBLANK(E34),C34,E34)) + B34) &lt; 0,     0,     (1*(IF(ISBLANK(E34),C34,E34)) + B34)   )),       (IF((1*(IF(ISBLANK(E34),C34,E34)) + D34) &lt; 0,     0,     (1*(IF(ISBLANK(E34),C34,E34)) + D34)   ))  )       *   (I30/3)+(H34))</f>
        <v>23683.79065525375</v>
      </c>
      <c r="J34" s="217">
        <f t="shared" ref="J34:J45" si="110">SUM(AE34+AJ34+AO34+AT34)</f>
        <v>252850.76320425031</v>
      </c>
      <c r="K34" s="492">
        <f>SUM(IF(ISBLANK(D34),      (IF((2*(IF(ISBLANK(E34),C34,E34)) + B34) &lt; 0,     0,     (2*(IF(ISBLANK(E34),C34,E34)) + B34)   )),       (IF((2*(IF(ISBLANK(E34),C34,E34)) + D34) &lt; 0,     0,     (2*(IF(ISBLANK(E34),C34,E34)) + D34)   ))  )       *   (K30/3)+(I34))</f>
        <v>29748.517810624384</v>
      </c>
      <c r="L34" s="492">
        <f>SUM(IF(ISBLANK(D34),      (IF((3*(IF(ISBLANK(E34),C34,E34)) + B34) &lt; 0,     0,     (3*(IF(ISBLANK(E34),C34,E34)) + B34)   )),       (IF((3*(IF(ISBLANK(E34),C34,E34)) + D34) &lt; 0,     0,     (3*(IF(ISBLANK(E34),C34,E34)) + D34)   ))  )       *   (L30/3)+(K34))</f>
        <v>41472.31642464584</v>
      </c>
      <c r="M34" s="492">
        <f>SUM(IF(ISBLANK(D34),      (IF((4*(IF(ISBLANK(E34),C34,E34)) + B34) &lt; 0,     0,     (4*(IF(ISBLANK(E34),C34,E34)) + B34)   )),       (IF((4*(IF(ISBLANK(E34),C34,E34)) + D34) &lt; 0,     0,     (4*(IF(ISBLANK(E34),C34,E34)) + D34)   ))  )       *   (M30/3)+(L34))</f>
        <v>61582.652688531787</v>
      </c>
      <c r="N34" s="492">
        <f>SUM(IF(ISBLANK(D34),      (IF((5*(IF(ISBLANK(E34),C34,E34)) + B34) &lt; 0,     0,     (5*(IF(ISBLANK(E34),C34,E34)) + B34)   )),       (IF((5*(IF(ISBLANK(E34),C34,E34)) + D34) &lt; 0,     0,     (5*(IF(ISBLANK(E34),C34,E34)) + D34)   ))  )       *   (N30/3)+(M34))</f>
        <v>95591.466062814085</v>
      </c>
      <c r="O34" s="217">
        <f t="shared" ref="O34:O45" si="111">SUM(AZ34+BE34+BJ34+BO34)</f>
        <v>685184.85895984829</v>
      </c>
      <c r="P34" s="492">
        <f>SUM(IF(ISBLANK(D34),      (IF((6*(IF(ISBLANK(E34),C34,E34)) + B34) &lt; 0,     0,     (6*(IF(ISBLANK(E34),C34,E34)) + B34)   )),       (IF((6*(IF(ISBLANK(E34),C34,E34)) + D34) &lt; 0,     0,     (6*(IF(ISBLANK(E34),C34,E34)) + D34)   ))  )       *   (P30/3)+(N34))</f>
        <v>153672.13123913482</v>
      </c>
      <c r="Q34" s="492">
        <f>SUM(IF(ISBLANK(D34),      (IF((7*(IF(ISBLANK(E34),C34,E34)) + B34) &lt; 0,     0,     (7*(IF(ISBLANK(E34),C34,E34)) + B34)   )),       (IF((7*(IF(ISBLANK(E34),C34,E34)) + D34) &lt; 0,     0,     (7*(IF(ISBLANK(E34),C34,E34)) + D34)   ))  )       *   (Q30/3)+(P34))</f>
        <v>254028.10562354507</v>
      </c>
      <c r="R34" s="492">
        <f>SUM(IF(ISBLANK(D34),      (IF((8*(IF(ISBLANK(E34),C34,E34)) + B34) &lt; 0,     0,     (8*(IF(ISBLANK(E34),C34,E34)) + B34)   )),       (IF((8*(IF(ISBLANK(E34),C34,E34)) + D34) &lt; 0,     0,     (8*(IF(ISBLANK(E34),C34,E34)) + D34)   ))  )       *   (R30/3)+(Q34))</f>
        <v>430366.27419913374</v>
      </c>
      <c r="S34" s="492">
        <f>SUM(IF(ISBLANK(D34),      (IF((9*(IF(ISBLANK(E34),C34,E34)) + B34) &lt; 0,     0,     (9*(IF(ISBLANK(E34),C34,E34)) + B34)   )),       (IF((9*(IF(ISBLANK(E34),C34,E34)) + D34) &lt; 0,     0,     (9*(IF(ISBLANK(E34),C34,E34)) + D34)   ))  )       *   (S30/3)+(R34))</f>
        <v>746305.10279459704</v>
      </c>
      <c r="T34" s="218">
        <f t="shared" ref="T34:T45" si="112">SUM(BU34+BZ34+CE34+CJ34)</f>
        <v>4753114.8415692318</v>
      </c>
      <c r="U34" s="221"/>
      <c r="V34" s="239">
        <f>SUM(IF(ISBLANK(D34),      (IF((10*(IF(ISBLANK(E34),C34,E34)) + B34) &lt; 0,     0,     (10*(IF(ISBLANK(E34),C34,E34)) + B34)   )),       (IF((10*(IF(ISBLANK(E34),C34,E34)) + D34) &lt; 0,     0,     (10*(IF(ISBLANK(E34),C34,E34)) + D34)   ))  )       *   (V30/3)+(S34))*12</f>
        <v>47386396.607444778</v>
      </c>
      <c r="W34" s="217">
        <f>SUM(IF(ISBLANK(D34),      (IF((11*(IF(ISBLANK(E34),C34,E34)) + B34) &lt; 0,     0,     (11*(IF(ISBLANK(E34),C34,E34)) + B34)   )),       (IF((11*(IF(ISBLANK(E34),C34,E34)) + D34) &lt; 0,     0,     (11*(IF(ISBLANK(E34),C34,E34)) + D34)   ))  )       *   (W30/12)+(V34/12))*12</f>
        <v>72910900.583644539</v>
      </c>
      <c r="X34" s="242">
        <f>SUM(IF(ISBLANK(D34),      (IF((12*(IF(ISBLANK(E34),C34,E34)) + B34) &lt; 0,     0,     (12*(IF(ISBLANK(E34),C34,E34)) + B34)   )),       (IF((12*(IF(ISBLANK(E34),C34,E34)) + D34) &lt; 0,     0,     (12*(IF(ISBLANK(E34),C34,E34)) + D34)   ))  )       *   (X30/12)+(W34/12))*12</f>
        <v>124322650.2053432</v>
      </c>
      <c r="Y34" s="221"/>
      <c r="Z34" s="578">
        <f>SUM(30664+342396+71683+36198+34170+34090+28752+50203+25449+25629+23773+25295+25295+20000)</f>
        <v>773597</v>
      </c>
      <c r="AA34" s="617"/>
      <c r="AB34" s="532">
        <f t="shared" ref="AB34:AB46" si="113">F34</f>
        <v>20000</v>
      </c>
      <c r="AC34" s="492">
        <f t="shared" ref="AC34:AC46" si="114">F34</f>
        <v>20000</v>
      </c>
      <c r="AD34" s="492">
        <f t="shared" ref="AD34:AD46" si="115">F34</f>
        <v>20000</v>
      </c>
      <c r="AE34" s="492">
        <f t="shared" si="98"/>
        <v>60000</v>
      </c>
      <c r="AF34" s="222"/>
      <c r="AG34" s="532">
        <f t="shared" ref="AG34:AG46" si="116">G34</f>
        <v>20000</v>
      </c>
      <c r="AH34" s="492">
        <f t="shared" ref="AH34:AH46" si="117">G34</f>
        <v>20000</v>
      </c>
      <c r="AI34" s="492">
        <f t="shared" ref="AI34:AI46" si="118">G34</f>
        <v>20000</v>
      </c>
      <c r="AJ34" s="492">
        <f t="shared" si="99"/>
        <v>60000</v>
      </c>
      <c r="AK34" s="222"/>
      <c r="AL34" s="532">
        <f t="shared" ref="AL34:AL46" si="119">H34</f>
        <v>20599.797079496351</v>
      </c>
      <c r="AM34" s="492">
        <f t="shared" ref="AM34:AM46" si="120">H34</f>
        <v>20599.797079496351</v>
      </c>
      <c r="AN34" s="492">
        <f t="shared" ref="AN34:AN46" si="121">H34</f>
        <v>20599.797079496351</v>
      </c>
      <c r="AO34" s="492">
        <f t="shared" si="100"/>
        <v>61799.391238489057</v>
      </c>
      <c r="AP34" s="222"/>
      <c r="AQ34" s="532">
        <f t="shared" ref="AQ34:AQ46" si="122">I34</f>
        <v>23683.79065525375</v>
      </c>
      <c r="AR34" s="492">
        <f t="shared" ref="AR34:AR46" si="123">I34</f>
        <v>23683.79065525375</v>
      </c>
      <c r="AS34" s="492">
        <f t="shared" ref="AS34:AS46" si="124">I34</f>
        <v>23683.79065525375</v>
      </c>
      <c r="AT34" s="492">
        <f t="shared" si="101"/>
        <v>71051.371965761253</v>
      </c>
      <c r="AU34" s="222"/>
      <c r="AV34" s="617"/>
      <c r="AW34" s="532">
        <f t="shared" ref="AW34:AW46" si="125">K34</f>
        <v>29748.517810624384</v>
      </c>
      <c r="AX34" s="492">
        <f t="shared" ref="AX34:AX46" si="126">K34</f>
        <v>29748.517810624384</v>
      </c>
      <c r="AY34" s="492">
        <f t="shared" ref="AY34:AY46" si="127">K34</f>
        <v>29748.517810624384</v>
      </c>
      <c r="AZ34" s="492">
        <f t="shared" si="102"/>
        <v>89245.553431873152</v>
      </c>
      <c r="BA34" s="222"/>
      <c r="BB34" s="532">
        <f t="shared" ref="BB34:BB46" si="128">L34</f>
        <v>41472.31642464584</v>
      </c>
      <c r="BC34" s="492">
        <f t="shared" ref="BC34:BC46" si="129">L34</f>
        <v>41472.31642464584</v>
      </c>
      <c r="BD34" s="492">
        <f t="shared" ref="BD34:BD46" si="130">L34</f>
        <v>41472.31642464584</v>
      </c>
      <c r="BE34" s="492">
        <f t="shared" si="103"/>
        <v>124416.94927393753</v>
      </c>
      <c r="BF34" s="222"/>
      <c r="BG34" s="532">
        <f t="shared" ref="BG34:BG46" si="131">M34</f>
        <v>61582.652688531787</v>
      </c>
      <c r="BH34" s="492">
        <f t="shared" ref="BH34:BH46" si="132">M34</f>
        <v>61582.652688531787</v>
      </c>
      <c r="BI34" s="492">
        <f t="shared" ref="BI34:BI46" si="133">M34</f>
        <v>61582.652688531787</v>
      </c>
      <c r="BJ34" s="492">
        <f t="shared" si="104"/>
        <v>184747.95806559536</v>
      </c>
      <c r="BK34" s="222"/>
      <c r="BL34" s="532">
        <f t="shared" ref="BL34:BL46" si="134">N34</f>
        <v>95591.466062814085</v>
      </c>
      <c r="BM34" s="492">
        <f t="shared" ref="BM34:BM46" si="135">N34</f>
        <v>95591.466062814085</v>
      </c>
      <c r="BN34" s="492">
        <f t="shared" ref="BN34:BN46" si="136">N34</f>
        <v>95591.466062814085</v>
      </c>
      <c r="BO34" s="492">
        <f t="shared" si="105"/>
        <v>286774.39818844222</v>
      </c>
      <c r="BP34" s="222"/>
      <c r="BQ34" s="221"/>
      <c r="BR34" s="532">
        <f t="shared" ref="BR34:BR46" si="137">P34</f>
        <v>153672.13123913482</v>
      </c>
      <c r="BS34" s="492">
        <f t="shared" ref="BS34:BS43" si="138">P34</f>
        <v>153672.13123913482</v>
      </c>
      <c r="BT34" s="492">
        <f t="shared" ref="BT34:BT46" si="139">P34</f>
        <v>153672.13123913482</v>
      </c>
      <c r="BU34" s="492">
        <f t="shared" si="106"/>
        <v>461016.39371740445</v>
      </c>
      <c r="BV34" s="222"/>
      <c r="BW34" s="532">
        <f t="shared" ref="BW34:BW46" si="140">Q34</f>
        <v>254028.10562354507</v>
      </c>
      <c r="BX34" s="492">
        <f t="shared" ref="BX34:BX46" si="141">Q34</f>
        <v>254028.10562354507</v>
      </c>
      <c r="BY34" s="492">
        <f t="shared" ref="BY34:BY46" si="142">Q34</f>
        <v>254028.10562354507</v>
      </c>
      <c r="BZ34" s="492">
        <f t="shared" si="107"/>
        <v>762084.31687063514</v>
      </c>
      <c r="CA34" s="222"/>
      <c r="CB34" s="532">
        <f t="shared" ref="CB34:CB46" si="143">R34</f>
        <v>430366.27419913374</v>
      </c>
      <c r="CC34" s="492">
        <f t="shared" ref="CC34:CC46" si="144">R34</f>
        <v>430366.27419913374</v>
      </c>
      <c r="CD34" s="492">
        <f t="shared" ref="CD34:CD46" si="145">R34</f>
        <v>430366.27419913374</v>
      </c>
      <c r="CE34" s="492">
        <f t="shared" si="108"/>
        <v>1291098.8225974012</v>
      </c>
      <c r="CF34" s="222"/>
      <c r="CG34" s="532">
        <f t="shared" ref="CG34:CG46" si="146">S34</f>
        <v>746305.10279459704</v>
      </c>
      <c r="CH34" s="492">
        <f t="shared" ref="CH34:CH46" si="147">S34</f>
        <v>746305.10279459704</v>
      </c>
      <c r="CI34" s="492">
        <f t="shared" ref="CI34:CI46" si="148">S34</f>
        <v>746305.10279459704</v>
      </c>
      <c r="CJ34" s="492">
        <f t="shared" si="109"/>
        <v>2238915.3083837912</v>
      </c>
      <c r="CK34" s="222"/>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row>
    <row r="35" spans="1:179" s="57" customFormat="1" ht="9.75" customHeight="1" x14ac:dyDescent="0.15">
      <c r="A35" s="488" t="s">
        <v>155</v>
      </c>
      <c r="B35" s="239">
        <v>0</v>
      </c>
      <c r="C35" s="126">
        <v>0.01</v>
      </c>
      <c r="D35" s="228"/>
      <c r="E35" s="624"/>
      <c r="F35" s="491">
        <f>SUM((IF(ISBLANK(D35),B35,D35))+(F34*(IF(ISBLANK(E35),C35,E35))))</f>
        <v>200</v>
      </c>
      <c r="G35" s="492">
        <f>SUM((IF(ISBLANK(D35),B35,D35))+(G34*(IF(ISBLANK(E35),C35,E35))))</f>
        <v>200</v>
      </c>
      <c r="H35" s="492">
        <f>SUM((IF(ISBLANK(D35),B35,D35))+(H34*(IF(ISBLANK(E35),C35,E35))))</f>
        <v>205.99797079496352</v>
      </c>
      <c r="I35" s="492">
        <f>SUM((IF(ISBLANK(D35),B35,D35))+(I34*(IF(ISBLANK(E35),C35,E35))))</f>
        <v>236.8379065525375</v>
      </c>
      <c r="J35" s="217">
        <f t="shared" si="110"/>
        <v>2528.5076320425032</v>
      </c>
      <c r="K35" s="492">
        <f>SUM((IF(ISBLANK(D35),B35,D35))+(K34*(IF(ISBLANK(E35),C35,E35))))</f>
        <v>297.48517810624384</v>
      </c>
      <c r="L35" s="492">
        <f>SUM((IF(ISBLANK(D35),B35,D35))+(L34*(IF(ISBLANK(E35),C35,E35))))</f>
        <v>414.7231642464584</v>
      </c>
      <c r="M35" s="492">
        <f>SUM((IF(ISBLANK(D35),B35,D35))+(M34*(IF(ISBLANK(E35),C35,E35))))</f>
        <v>615.82652688531789</v>
      </c>
      <c r="N35" s="492">
        <f>SUM((IF(ISBLANK(D35),B35,D35))+(N34*(IF(ISBLANK(E35),C35,E35))))</f>
        <v>955.91466062814084</v>
      </c>
      <c r="O35" s="217">
        <f t="shared" si="111"/>
        <v>6851.8485895984832</v>
      </c>
      <c r="P35" s="492">
        <f>SUM((IF(ISBLANK(D35),B35,D35))+(P34*(IF(ISBLANK(E35),C35,E35))))</f>
        <v>1536.7213123913482</v>
      </c>
      <c r="Q35" s="492">
        <f>SUM((IF(ISBLANK(D35),B35,D35))+(Q34*(IF(ISBLANK(E35),C35,E35))))</f>
        <v>2540.2810562354507</v>
      </c>
      <c r="R35" s="492">
        <f>SUM((IF(ISBLANK(D35),B35,D35))+(R34*(IF(ISBLANK(E35),C35,E35))))</f>
        <v>4303.6627419913375</v>
      </c>
      <c r="S35" s="492">
        <f>SUM((IF(ISBLANK(D35),B35,D35))+(S34*(IF(ISBLANK(E35),C35,E35))))</f>
        <v>7463.0510279459704</v>
      </c>
      <c r="T35" s="218">
        <f t="shared" si="112"/>
        <v>47531.148415692318</v>
      </c>
      <c r="U35" s="221"/>
      <c r="V35" s="239">
        <f>SUM((IF(ISBLANK(D35),B35,D35))+(V34*(IF(ISBLANK(E35),C35,E35))))</f>
        <v>473863.96607444779</v>
      </c>
      <c r="W35" s="217">
        <f>SUM((IF(ISBLANK(D35),B35,D35))+(W34*(IF(ISBLANK(E35),C35,E35))))</f>
        <v>729109.00583644537</v>
      </c>
      <c r="X35" s="242">
        <f>SUM((IF(ISBLANK(D35),B35,D35))+(X34*(IF(ISBLANK(E35),C35,E35))))</f>
        <v>1243226.5020534319</v>
      </c>
      <c r="Y35" s="221"/>
      <c r="Z35" s="578">
        <v>4000</v>
      </c>
      <c r="AA35" s="617"/>
      <c r="AB35" s="532">
        <f t="shared" si="113"/>
        <v>200</v>
      </c>
      <c r="AC35" s="492">
        <f t="shared" si="114"/>
        <v>200</v>
      </c>
      <c r="AD35" s="492">
        <f t="shared" si="115"/>
        <v>200</v>
      </c>
      <c r="AE35" s="492">
        <f t="shared" si="98"/>
        <v>600</v>
      </c>
      <c r="AF35" s="222"/>
      <c r="AG35" s="532">
        <f t="shared" si="116"/>
        <v>200</v>
      </c>
      <c r="AH35" s="492">
        <f t="shared" si="117"/>
        <v>200</v>
      </c>
      <c r="AI35" s="492">
        <f t="shared" si="118"/>
        <v>200</v>
      </c>
      <c r="AJ35" s="492">
        <f t="shared" si="99"/>
        <v>600</v>
      </c>
      <c r="AK35" s="222"/>
      <c r="AL35" s="532">
        <f t="shared" si="119"/>
        <v>205.99797079496352</v>
      </c>
      <c r="AM35" s="492">
        <f t="shared" si="120"/>
        <v>205.99797079496352</v>
      </c>
      <c r="AN35" s="492">
        <f t="shared" si="121"/>
        <v>205.99797079496352</v>
      </c>
      <c r="AO35" s="492">
        <f t="shared" si="100"/>
        <v>617.99391238489056</v>
      </c>
      <c r="AP35" s="222"/>
      <c r="AQ35" s="532">
        <f t="shared" si="122"/>
        <v>236.8379065525375</v>
      </c>
      <c r="AR35" s="492">
        <f t="shared" si="123"/>
        <v>236.8379065525375</v>
      </c>
      <c r="AS35" s="492">
        <f t="shared" si="124"/>
        <v>236.8379065525375</v>
      </c>
      <c r="AT35" s="492">
        <f t="shared" si="101"/>
        <v>710.51371965761246</v>
      </c>
      <c r="AU35" s="222"/>
      <c r="AV35" s="617"/>
      <c r="AW35" s="532">
        <f t="shared" si="125"/>
        <v>297.48517810624384</v>
      </c>
      <c r="AX35" s="492">
        <f t="shared" si="126"/>
        <v>297.48517810624384</v>
      </c>
      <c r="AY35" s="492">
        <f t="shared" si="127"/>
        <v>297.48517810624384</v>
      </c>
      <c r="AZ35" s="492">
        <f t="shared" si="102"/>
        <v>892.45553431873145</v>
      </c>
      <c r="BA35" s="222"/>
      <c r="BB35" s="532">
        <f t="shared" si="128"/>
        <v>414.7231642464584</v>
      </c>
      <c r="BC35" s="492">
        <f t="shared" si="129"/>
        <v>414.7231642464584</v>
      </c>
      <c r="BD35" s="492">
        <f t="shared" si="130"/>
        <v>414.7231642464584</v>
      </c>
      <c r="BE35" s="492">
        <f t="shared" si="103"/>
        <v>1244.1694927393751</v>
      </c>
      <c r="BF35" s="222"/>
      <c r="BG35" s="532">
        <f t="shared" si="131"/>
        <v>615.82652688531789</v>
      </c>
      <c r="BH35" s="492">
        <f t="shared" si="132"/>
        <v>615.82652688531789</v>
      </c>
      <c r="BI35" s="492">
        <f t="shared" si="133"/>
        <v>615.82652688531789</v>
      </c>
      <c r="BJ35" s="492">
        <f t="shared" si="104"/>
        <v>1847.4795806559537</v>
      </c>
      <c r="BK35" s="222"/>
      <c r="BL35" s="532">
        <f t="shared" si="134"/>
        <v>955.91466062814084</v>
      </c>
      <c r="BM35" s="492">
        <f t="shared" si="135"/>
        <v>955.91466062814084</v>
      </c>
      <c r="BN35" s="492">
        <f t="shared" si="136"/>
        <v>955.91466062814084</v>
      </c>
      <c r="BO35" s="492">
        <f t="shared" si="105"/>
        <v>2867.7439818844223</v>
      </c>
      <c r="BP35" s="222"/>
      <c r="BQ35" s="221"/>
      <c r="BR35" s="532">
        <f t="shared" si="137"/>
        <v>1536.7213123913482</v>
      </c>
      <c r="BS35" s="492">
        <f t="shared" si="138"/>
        <v>1536.7213123913482</v>
      </c>
      <c r="BT35" s="492">
        <f t="shared" si="139"/>
        <v>1536.7213123913482</v>
      </c>
      <c r="BU35" s="492">
        <f t="shared" si="106"/>
        <v>4610.1639371740448</v>
      </c>
      <c r="BV35" s="222"/>
      <c r="BW35" s="532">
        <f t="shared" si="140"/>
        <v>2540.2810562354507</v>
      </c>
      <c r="BX35" s="492">
        <f t="shared" si="141"/>
        <v>2540.2810562354507</v>
      </c>
      <c r="BY35" s="492">
        <f t="shared" si="142"/>
        <v>2540.2810562354507</v>
      </c>
      <c r="BZ35" s="492">
        <f t="shared" si="107"/>
        <v>7620.8431687063521</v>
      </c>
      <c r="CA35" s="222"/>
      <c r="CB35" s="532">
        <f t="shared" si="143"/>
        <v>4303.6627419913375</v>
      </c>
      <c r="CC35" s="492">
        <f t="shared" si="144"/>
        <v>4303.6627419913375</v>
      </c>
      <c r="CD35" s="492">
        <f t="shared" si="145"/>
        <v>4303.6627419913375</v>
      </c>
      <c r="CE35" s="492">
        <f t="shared" si="108"/>
        <v>12910.988225974012</v>
      </c>
      <c r="CF35" s="222"/>
      <c r="CG35" s="532">
        <f t="shared" si="146"/>
        <v>7463.0510279459704</v>
      </c>
      <c r="CH35" s="492">
        <f t="shared" si="147"/>
        <v>7463.0510279459704</v>
      </c>
      <c r="CI35" s="492">
        <f t="shared" si="148"/>
        <v>7463.0510279459704</v>
      </c>
      <c r="CJ35" s="492">
        <f t="shared" si="109"/>
        <v>22389.153083837911</v>
      </c>
      <c r="CK35" s="222"/>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row>
    <row r="36" spans="1:179" s="57" customFormat="1" ht="9.75" customHeight="1" x14ac:dyDescent="0.15">
      <c r="A36" s="488" t="s">
        <v>156</v>
      </c>
      <c r="B36" s="239">
        <v>1500</v>
      </c>
      <c r="C36" s="126">
        <v>0.06</v>
      </c>
      <c r="D36" s="228"/>
      <c r="E36" s="624"/>
      <c r="F36" s="491">
        <f>SUM((IF(ISBLANK(D36),B36,D36))+(F34*(IF(ISBLANK(E36),C36,E36))))</f>
        <v>2700</v>
      </c>
      <c r="G36" s="492">
        <f>SUM((IF(ISBLANK(D36),B36,D36))+(G34*(IF(ISBLANK(E36),C36,E36))))</f>
        <v>2700</v>
      </c>
      <c r="H36" s="492">
        <f>SUM((IF(ISBLANK(D36),B36,D36))+(H34*(IF(ISBLANK(E36),C36,E36))))</f>
        <v>2735.9878247697811</v>
      </c>
      <c r="I36" s="492">
        <f>SUM((IF(ISBLANK(D36),B36,D36))+(I34*(IF(ISBLANK(E36),C36,E36))))</f>
        <v>2921.0274393152249</v>
      </c>
      <c r="J36" s="217">
        <f t="shared" si="110"/>
        <v>33171.045792255012</v>
      </c>
      <c r="K36" s="492">
        <f>SUM((IF(ISBLANK(D36),B36,D36))+(K34*(IF(ISBLANK(E36),C36,E36))))</f>
        <v>3284.9110686374629</v>
      </c>
      <c r="L36" s="492">
        <f>SUM((IF(ISBLANK(D36),B36,D36))+(L34*(IF(ISBLANK(E36),C36,E36))))</f>
        <v>3988.3389854787501</v>
      </c>
      <c r="M36" s="492">
        <f>SUM((IF(ISBLANK(D36),B36,D36))+(M34*(IF(ISBLANK(E36),C36,E36))))</f>
        <v>5194.9591613119064</v>
      </c>
      <c r="N36" s="492">
        <f>SUM((IF(ISBLANK(D36),B36,D36))+(N34*(IF(ISBLANK(E36),C36,E36))))</f>
        <v>7235.4879637688446</v>
      </c>
      <c r="O36" s="217">
        <f t="shared" si="111"/>
        <v>59111.091537590895</v>
      </c>
      <c r="P36" s="492">
        <f>SUM((IF(ISBLANK(D36),B36,D36))+(P34*(IF(ISBLANK(E36),C36,E36))))</f>
        <v>10720.32787434809</v>
      </c>
      <c r="Q36" s="492">
        <f>SUM((IF(ISBLANK(D36),B36,D36))+(Q34*(IF(ISBLANK(E36),C36,E36))))</f>
        <v>16741.686337412706</v>
      </c>
      <c r="R36" s="492">
        <f>SUM((IF(ISBLANK(D36),B36,D36))+(R34*(IF(ISBLANK(E36),C36,E36))))</f>
        <v>27321.976451948023</v>
      </c>
      <c r="S36" s="492">
        <f>SUM((IF(ISBLANK(D36),B36,D36))+(S34*(IF(ISBLANK(E36),C36,E36))))</f>
        <v>46278.306167675823</v>
      </c>
      <c r="T36" s="218">
        <f t="shared" si="112"/>
        <v>303186.89049415395</v>
      </c>
      <c r="U36" s="221"/>
      <c r="V36" s="239">
        <f>SUM((IF(ISBLANK(D36),B36,D36))+(V34*(IF(ISBLANK(E36),C36,E36))))</f>
        <v>2844683.7964466866</v>
      </c>
      <c r="W36" s="217">
        <f>SUM((IF(ISBLANK(D36),B36,D36))+(W34*(IF(ISBLANK(E36),C36,E36))))</f>
        <v>4376154.0350186722</v>
      </c>
      <c r="X36" s="242">
        <f>SUM((IF(ISBLANK(D36),B36,D36))+(X34*(IF(ISBLANK(E36),C36,E36))))</f>
        <v>7460859.0123205921</v>
      </c>
      <c r="Y36" s="221"/>
      <c r="Z36" s="578">
        <f>SUM(3832+10734+12859+20000)</f>
        <v>47425</v>
      </c>
      <c r="AA36" s="617"/>
      <c r="AB36" s="532">
        <f t="shared" si="113"/>
        <v>2700</v>
      </c>
      <c r="AC36" s="492">
        <f t="shared" si="114"/>
        <v>2700</v>
      </c>
      <c r="AD36" s="492">
        <f t="shared" si="115"/>
        <v>2700</v>
      </c>
      <c r="AE36" s="492">
        <f t="shared" si="98"/>
        <v>8100</v>
      </c>
      <c r="AF36" s="222"/>
      <c r="AG36" s="532">
        <f t="shared" si="116"/>
        <v>2700</v>
      </c>
      <c r="AH36" s="492">
        <f t="shared" si="117"/>
        <v>2700</v>
      </c>
      <c r="AI36" s="492">
        <f t="shared" si="118"/>
        <v>2700</v>
      </c>
      <c r="AJ36" s="492">
        <f t="shared" si="99"/>
        <v>8100</v>
      </c>
      <c r="AK36" s="222"/>
      <c r="AL36" s="532">
        <f t="shared" si="119"/>
        <v>2735.9878247697811</v>
      </c>
      <c r="AM36" s="492">
        <f t="shared" si="120"/>
        <v>2735.9878247697811</v>
      </c>
      <c r="AN36" s="492">
        <f t="shared" si="121"/>
        <v>2735.9878247697811</v>
      </c>
      <c r="AO36" s="492">
        <f t="shared" si="100"/>
        <v>8207.9634743093429</v>
      </c>
      <c r="AP36" s="222"/>
      <c r="AQ36" s="532">
        <f t="shared" si="122"/>
        <v>2921.0274393152249</v>
      </c>
      <c r="AR36" s="492">
        <f t="shared" si="123"/>
        <v>2921.0274393152249</v>
      </c>
      <c r="AS36" s="492">
        <f t="shared" si="124"/>
        <v>2921.0274393152249</v>
      </c>
      <c r="AT36" s="492">
        <f t="shared" si="101"/>
        <v>8763.0823179456747</v>
      </c>
      <c r="AU36" s="222"/>
      <c r="AV36" s="617"/>
      <c r="AW36" s="532">
        <f t="shared" si="125"/>
        <v>3284.9110686374629</v>
      </c>
      <c r="AX36" s="492">
        <f t="shared" si="126"/>
        <v>3284.9110686374629</v>
      </c>
      <c r="AY36" s="492">
        <f t="shared" si="127"/>
        <v>3284.9110686374629</v>
      </c>
      <c r="AZ36" s="492">
        <f t="shared" si="102"/>
        <v>9854.7332059123892</v>
      </c>
      <c r="BA36" s="222"/>
      <c r="BB36" s="532">
        <f t="shared" si="128"/>
        <v>3988.3389854787501</v>
      </c>
      <c r="BC36" s="492">
        <f>L36</f>
        <v>3988.3389854787501</v>
      </c>
      <c r="BD36" s="492">
        <f t="shared" si="130"/>
        <v>3988.3389854787501</v>
      </c>
      <c r="BE36" s="492">
        <f t="shared" si="103"/>
        <v>11965.016956436251</v>
      </c>
      <c r="BF36" s="222"/>
      <c r="BG36" s="532">
        <f t="shared" si="131"/>
        <v>5194.9591613119064</v>
      </c>
      <c r="BH36" s="492">
        <f t="shared" si="132"/>
        <v>5194.9591613119064</v>
      </c>
      <c r="BI36" s="492">
        <f t="shared" si="133"/>
        <v>5194.9591613119064</v>
      </c>
      <c r="BJ36" s="492">
        <f t="shared" si="104"/>
        <v>15584.877483935719</v>
      </c>
      <c r="BK36" s="222"/>
      <c r="BL36" s="532">
        <f t="shared" si="134"/>
        <v>7235.4879637688446</v>
      </c>
      <c r="BM36" s="492">
        <f t="shared" si="135"/>
        <v>7235.4879637688446</v>
      </c>
      <c r="BN36" s="492">
        <f t="shared" si="136"/>
        <v>7235.4879637688446</v>
      </c>
      <c r="BO36" s="492">
        <f t="shared" si="105"/>
        <v>21706.463891306536</v>
      </c>
      <c r="BP36" s="222"/>
      <c r="BQ36" s="221"/>
      <c r="BR36" s="532">
        <f t="shared" si="137"/>
        <v>10720.32787434809</v>
      </c>
      <c r="BS36" s="492">
        <f t="shared" si="138"/>
        <v>10720.32787434809</v>
      </c>
      <c r="BT36" s="492">
        <f t="shared" si="139"/>
        <v>10720.32787434809</v>
      </c>
      <c r="BU36" s="492">
        <f t="shared" si="106"/>
        <v>32160.983623044267</v>
      </c>
      <c r="BV36" s="222"/>
      <c r="BW36" s="532">
        <f t="shared" si="140"/>
        <v>16741.686337412706</v>
      </c>
      <c r="BX36" s="492">
        <f t="shared" si="141"/>
        <v>16741.686337412706</v>
      </c>
      <c r="BY36" s="492">
        <f t="shared" si="142"/>
        <v>16741.686337412706</v>
      </c>
      <c r="BZ36" s="492">
        <f t="shared" si="107"/>
        <v>50225.059012238118</v>
      </c>
      <c r="CA36" s="222"/>
      <c r="CB36" s="532">
        <f t="shared" si="143"/>
        <v>27321.976451948023</v>
      </c>
      <c r="CC36" s="492">
        <f t="shared" si="144"/>
        <v>27321.976451948023</v>
      </c>
      <c r="CD36" s="492">
        <f t="shared" si="145"/>
        <v>27321.976451948023</v>
      </c>
      <c r="CE36" s="492">
        <f t="shared" si="108"/>
        <v>81965.92935584407</v>
      </c>
      <c r="CF36" s="222"/>
      <c r="CG36" s="532">
        <f t="shared" si="146"/>
        <v>46278.306167675823</v>
      </c>
      <c r="CH36" s="492">
        <f t="shared" si="147"/>
        <v>46278.306167675823</v>
      </c>
      <c r="CI36" s="492">
        <f t="shared" si="148"/>
        <v>46278.306167675823</v>
      </c>
      <c r="CJ36" s="492">
        <f t="shared" si="109"/>
        <v>138834.91850302747</v>
      </c>
      <c r="CK36" s="222"/>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row>
    <row r="37" spans="1:179" s="57" customFormat="1" ht="9.75" customHeight="1" x14ac:dyDescent="0.15">
      <c r="A37" s="488" t="s">
        <v>157</v>
      </c>
      <c r="B37" s="145">
        <v>0.3</v>
      </c>
      <c r="C37" s="126">
        <v>-1.4999999999999999E-2</v>
      </c>
      <c r="D37" s="291"/>
      <c r="E37" s="624"/>
      <c r="F37" s="491">
        <f>SUM((IF(AE21*((0*(IF(ISBLANK(E37),C37,E37)))+IF(ISBLANK(D37),B37,D37)) &lt; 0, 0, (AE21*((0*(IF(ISBLANK(E37),C37,E37)))+IF(ISBLANK(D37),B37,D37)))))/3)</f>
        <v>0</v>
      </c>
      <c r="G37" s="492">
        <f>SUM((IF(AJ21*((0*(IF(ISBLANK(E37),C37,E37)))+IF(ISBLANK(D37),B37,D37)) &lt; 0, 0, (AJ21*((0*(IF(ISBLANK(E37),C37,E37)))+IF(ISBLANK(D37),B37,D37)))))/3)</f>
        <v>0</v>
      </c>
      <c r="H37" s="492">
        <f>SUM((IF(AO21*((0*(IF(ISBLANK(E37),C37,E37)))+IF(ISBLANK(D37),B37,D37)) &lt; 0, 0, (AO21*((0*(IF(ISBLANK(E37),C37,E37)))+IF(ISBLANK(D37),B37,D37)))))/3)</f>
        <v>1799.3912384890557</v>
      </c>
      <c r="I37" s="492">
        <f>SUM((IF(AT21*((1*(IF(ISBLANK(E37),C37,E37)))+IF(ISBLANK(D37),B37,D37)) &lt; 0, 0, (AT21*((1*(IF(ISBLANK(E37),C37,E37)))+IF(ISBLANK(D37),B37,D37)))))/3)</f>
        <v>4821.4547451981871</v>
      </c>
      <c r="J37" s="217">
        <f t="shared" si="110"/>
        <v>19862.537951061728</v>
      </c>
      <c r="K37" s="492">
        <f>SUM((IF(AZ21*((2*(IF(ISBLANK(E37),C37,E37)))+IF(ISBLANK(D37),B37,D37)) &lt; 0, 0, (AZ21*((2*(IF(ISBLANK(E37),C37,E37)))+IF(ISBLANK(D37),B37,D37)))))/3)</f>
        <v>8894.9331612102651</v>
      </c>
      <c r="L37" s="492">
        <f>SUM((IF(BE21*((3*(IF(ISBLANK(E37),C37,E37)))+IF(ISBLANK(D37),B37,D37)) &lt; 0, 0, (BE21*((3*(IF(ISBLANK(E37),C37,E37)))+IF(ISBLANK(D37),B37,D37)))))/3)</f>
        <v>14349.929503562262</v>
      </c>
      <c r="M37" s="492">
        <f>SUM((IF(BJ21*((4*(IF(ISBLANK(E37),C37,E37)))+IF(ISBLANK(D37),B37,D37)) &lt; 0, 0, (BJ21*((4*(IF(ISBLANK(E37),C37,E37)))+IF(ISBLANK(D37),B37,D37)))))/3)</f>
        <v>21869.990686975969</v>
      </c>
      <c r="N37" s="492">
        <f>SUM((IF(BO21*((5*(IF(ISBLANK(E37),C37,E37)))+IF(ISBLANK(D37),B37,D37)) &lt; 0, 0, (BO21*((5*(IF(ISBLANK(E37),C37,E37)))+IF(ISBLANK(D37),B37,D37)))))/3)</f>
        <v>34008.81337428229</v>
      </c>
      <c r="O37" s="217">
        <f t="shared" si="111"/>
        <v>237371.00017809233</v>
      </c>
      <c r="P37" s="492">
        <f>SUM((IF(BU21*((6*(IF(ISBLANK(E37),C37,E37)))+IF(ISBLANK(D37),B37,D37)) &lt; 0, 0, (BU21*((6*(IF(ISBLANK(E37),C37,E37)))+IF(ISBLANK(D37),B37,D37)))))/3)</f>
        <v>54545.320339501195</v>
      </c>
      <c r="Q37" s="492">
        <f>SUM((IF(BZ21*((7*(IF(ISBLANK(E37),C37,E37)))+IF(ISBLANK(D37),B37,D37)) &lt; 0, 0, (BZ21*((7*(IF(ISBLANK(E37),C37,E37)))+IF(ISBLANK(D37),B37,D37)))))/3)</f>
        <v>89752.324260774432</v>
      </c>
      <c r="R37" s="492">
        <f>SUM((IF(CE21*((8*(IF(ISBLANK(E37),C37,E37)))+IF(ISBLANK(D37),B37,D37)) &lt; 0, 0, (CE21*((8*(IF(ISBLANK(E37),C37,E37)))+IF(ISBLANK(D37),B37,D37)))))/3)</f>
        <v>151650.82497500622</v>
      </c>
      <c r="S37" s="492">
        <f>SUM((IF(CJ21*((9*(IF(ISBLANK(E37),C37,E37)))+IF(ISBLANK(D37),B37,D37)) &lt; 0, 0, (CJ21*((9*(IF(ISBLANK(E37),C37,E37)))+IF(ISBLANK(D37),B37,D37)))))/3)</f>
        <v>263125.17366607237</v>
      </c>
      <c r="T37" s="218">
        <f t="shared" si="112"/>
        <v>1677220.9297240628</v>
      </c>
      <c r="U37" s="221"/>
      <c r="V37" s="239">
        <f>SUM((IF((V21*V18)*((10*(IF(ISBLANK(E37),C37,E37)))+IF(ISBLANK(D37),B37,D37)) &lt; 0, 0, ((V21*V18)*((10*(IF(ISBLANK(E37),C37,E37)))+IF(ISBLANK(D37),B37,D37))))))</f>
        <v>11346462.138589205</v>
      </c>
      <c r="W37" s="217">
        <f>SUM((IF((W21*W18)*((10*(IF(ISBLANK(E37),C37,E37)))+IF(ISBLANK(D37),B37,D37)) &lt; 0, 0, ((W21*W18)*((10*(IF(ISBLANK(E37),C37,E37)))+IF(ISBLANK(D37),B37,D37))))))</f>
        <v>30515830.958195891</v>
      </c>
      <c r="X37" s="242">
        <f>SUM((IF((X21*X18)*((10*(IF(ISBLANK(E37),C37,E37)))+IF(ISBLANK(D37),B37,D37)) &lt; 0, 0, ((X21*X18)*((10*(IF(ISBLANK(E37),C37,E37)))+IF(ISBLANK(D37),B37,D37))))))</f>
        <v>61466065.854562059</v>
      </c>
      <c r="Y37" s="221"/>
      <c r="Z37" s="578">
        <v>0</v>
      </c>
      <c r="AA37" s="617"/>
      <c r="AB37" s="532">
        <f t="shared" si="113"/>
        <v>0</v>
      </c>
      <c r="AC37" s="492">
        <f t="shared" si="114"/>
        <v>0</v>
      </c>
      <c r="AD37" s="492">
        <f t="shared" si="115"/>
        <v>0</v>
      </c>
      <c r="AE37" s="492">
        <f>SUM(AB37:AD37)</f>
        <v>0</v>
      </c>
      <c r="AF37" s="222"/>
      <c r="AG37" s="532">
        <f t="shared" si="116"/>
        <v>0</v>
      </c>
      <c r="AH37" s="492">
        <f t="shared" si="117"/>
        <v>0</v>
      </c>
      <c r="AI37" s="492">
        <f t="shared" si="118"/>
        <v>0</v>
      </c>
      <c r="AJ37" s="492">
        <f>SUM(AG37:AI37)</f>
        <v>0</v>
      </c>
      <c r="AK37" s="222"/>
      <c r="AL37" s="532">
        <f t="shared" si="119"/>
        <v>1799.3912384890557</v>
      </c>
      <c r="AM37" s="492">
        <f t="shared" si="120"/>
        <v>1799.3912384890557</v>
      </c>
      <c r="AN37" s="492">
        <f t="shared" si="121"/>
        <v>1799.3912384890557</v>
      </c>
      <c r="AO37" s="492">
        <f>SUM(AL37:AN37)</f>
        <v>5398.1737154671673</v>
      </c>
      <c r="AP37" s="222"/>
      <c r="AQ37" s="532">
        <f t="shared" si="122"/>
        <v>4821.4547451981871</v>
      </c>
      <c r="AR37" s="492">
        <f t="shared" si="123"/>
        <v>4821.4547451981871</v>
      </c>
      <c r="AS37" s="492">
        <f t="shared" si="124"/>
        <v>4821.4547451981871</v>
      </c>
      <c r="AT37" s="492">
        <f>SUM(AQ37:AS37)</f>
        <v>14464.364235594561</v>
      </c>
      <c r="AU37" s="222"/>
      <c r="AV37" s="617"/>
      <c r="AW37" s="532">
        <f t="shared" si="125"/>
        <v>8894.9331612102651</v>
      </c>
      <c r="AX37" s="492">
        <f t="shared" si="126"/>
        <v>8894.9331612102651</v>
      </c>
      <c r="AY37" s="492">
        <f t="shared" si="127"/>
        <v>8894.9331612102651</v>
      </c>
      <c r="AZ37" s="492">
        <f>SUM(AW37:AY37)</f>
        <v>26684.799483630795</v>
      </c>
      <c r="BA37" s="222"/>
      <c r="BB37" s="532">
        <f t="shared" si="128"/>
        <v>14349.929503562262</v>
      </c>
      <c r="BC37" s="492">
        <f>L37</f>
        <v>14349.929503562262</v>
      </c>
      <c r="BD37" s="492">
        <f t="shared" si="130"/>
        <v>14349.929503562262</v>
      </c>
      <c r="BE37" s="492">
        <f>SUM(BB37:BD37)</f>
        <v>43049.788510686783</v>
      </c>
      <c r="BF37" s="222"/>
      <c r="BG37" s="532">
        <f t="shared" si="131"/>
        <v>21869.990686975969</v>
      </c>
      <c r="BH37" s="492">
        <f t="shared" si="132"/>
        <v>21869.990686975969</v>
      </c>
      <c r="BI37" s="492">
        <f t="shared" si="133"/>
        <v>21869.990686975969</v>
      </c>
      <c r="BJ37" s="492">
        <f>SUM(BG37:BI37)</f>
        <v>65609.972060927903</v>
      </c>
      <c r="BK37" s="222"/>
      <c r="BL37" s="532">
        <f t="shared" si="134"/>
        <v>34008.81337428229</v>
      </c>
      <c r="BM37" s="492">
        <f t="shared" si="135"/>
        <v>34008.81337428229</v>
      </c>
      <c r="BN37" s="492">
        <f t="shared" si="136"/>
        <v>34008.81337428229</v>
      </c>
      <c r="BO37" s="492">
        <f>SUM(BL37:BN37)</f>
        <v>102026.44012284686</v>
      </c>
      <c r="BP37" s="222"/>
      <c r="BQ37" s="221"/>
      <c r="BR37" s="532">
        <f t="shared" si="137"/>
        <v>54545.320339501195</v>
      </c>
      <c r="BS37" s="492">
        <f t="shared" si="138"/>
        <v>54545.320339501195</v>
      </c>
      <c r="BT37" s="492">
        <f t="shared" si="139"/>
        <v>54545.320339501195</v>
      </c>
      <c r="BU37" s="492">
        <f>SUM(BR37:BT37)</f>
        <v>163635.96101850359</v>
      </c>
      <c r="BV37" s="222"/>
      <c r="BW37" s="532">
        <f t="shared" si="140"/>
        <v>89752.324260774432</v>
      </c>
      <c r="BX37" s="492">
        <f t="shared" si="141"/>
        <v>89752.324260774432</v>
      </c>
      <c r="BY37" s="492">
        <f t="shared" si="142"/>
        <v>89752.324260774432</v>
      </c>
      <c r="BZ37" s="492">
        <f>SUM(BW37:BY37)</f>
        <v>269256.97278232331</v>
      </c>
      <c r="CA37" s="222"/>
      <c r="CB37" s="532">
        <f t="shared" si="143"/>
        <v>151650.82497500622</v>
      </c>
      <c r="CC37" s="492">
        <f t="shared" si="144"/>
        <v>151650.82497500622</v>
      </c>
      <c r="CD37" s="492">
        <f t="shared" si="145"/>
        <v>151650.82497500622</v>
      </c>
      <c r="CE37" s="492">
        <f>SUM(CB37:CD37)</f>
        <v>454952.47492501867</v>
      </c>
      <c r="CF37" s="222"/>
      <c r="CG37" s="532">
        <f t="shared" si="146"/>
        <v>263125.17366607237</v>
      </c>
      <c r="CH37" s="492">
        <f t="shared" si="147"/>
        <v>263125.17366607237</v>
      </c>
      <c r="CI37" s="492">
        <f t="shared" si="148"/>
        <v>263125.17366607237</v>
      </c>
      <c r="CJ37" s="492">
        <f>SUM(CG37:CI37)</f>
        <v>789375.52099821717</v>
      </c>
      <c r="CK37" s="222"/>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row>
    <row r="38" spans="1:179" s="57" customFormat="1" ht="9.75" customHeight="1" x14ac:dyDescent="0.15">
      <c r="A38" s="488" t="s">
        <v>158</v>
      </c>
      <c r="B38" s="239">
        <v>3000</v>
      </c>
      <c r="C38" s="218">
        <v>5000</v>
      </c>
      <c r="D38" s="228"/>
      <c r="E38" s="229"/>
      <c r="F38" s="491">
        <f>SUM((IF(ISBLANK(D38),B38,D38)))</f>
        <v>3000</v>
      </c>
      <c r="G38" s="492">
        <f>SUM((IF(ISBLANK(D38),B38,D38)))</f>
        <v>3000</v>
      </c>
      <c r="H38" s="492">
        <f>SUM((IF(ISBLANK(D38),B38,D38)))</f>
        <v>3000</v>
      </c>
      <c r="I38" s="492">
        <f>SUM((IF(ISBLANK(D38),B38,D38)))</f>
        <v>3000</v>
      </c>
      <c r="J38" s="217">
        <f t="shared" si="110"/>
        <v>36000</v>
      </c>
      <c r="K38" s="492">
        <f>SUM((IF(ISBLANK(D38),B38,D38))+(IF(ISBLANK(E38),C38,E38)))</f>
        <v>8000</v>
      </c>
      <c r="L38" s="492">
        <f>SUM((IF(ISBLANK(D38),B38,D38))+(IF(ISBLANK(E38),C38,E38)))</f>
        <v>8000</v>
      </c>
      <c r="M38" s="492">
        <f>SUM((IF(ISBLANK(D38),B38,D38))+(IF(ISBLANK(E38),C38,E38)))</f>
        <v>8000</v>
      </c>
      <c r="N38" s="492">
        <f>SUM((IF(ISBLANK(D38),B38,D38))+(IF(ISBLANK(E38),C38,E38)))</f>
        <v>8000</v>
      </c>
      <c r="O38" s="217">
        <f t="shared" si="111"/>
        <v>96000</v>
      </c>
      <c r="P38" s="492">
        <f>SUM((IF(ISBLANK(D38),B38,D38))+(IF(ISBLANK(E38),C38,E38)))</f>
        <v>8000</v>
      </c>
      <c r="Q38" s="492">
        <f>SUM((IF(ISBLANK(D38),B38,D38))+(IF(ISBLANK(E38),C38,E38)))</f>
        <v>8000</v>
      </c>
      <c r="R38" s="492">
        <f>SUM((IF(ISBLANK(D38),B38,D38))+(IF(ISBLANK(E38),C38,E38)))</f>
        <v>8000</v>
      </c>
      <c r="S38" s="492">
        <f>SUM((IF(ISBLANK(D38),B38,D38))+(IF(ISBLANK(E38),C38,E38)))</f>
        <v>8000</v>
      </c>
      <c r="T38" s="218">
        <f t="shared" si="112"/>
        <v>96000</v>
      </c>
      <c r="U38" s="221"/>
      <c r="V38" s="239">
        <f>SUM(S38*12)</f>
        <v>96000</v>
      </c>
      <c r="W38" s="217">
        <f>SUM(S38*12)</f>
        <v>96000</v>
      </c>
      <c r="X38" s="242">
        <f>SUM(S38*12)</f>
        <v>96000</v>
      </c>
      <c r="Y38" s="221"/>
      <c r="Z38" s="578">
        <v>45000</v>
      </c>
      <c r="AA38" s="617"/>
      <c r="AB38" s="532">
        <f t="shared" si="113"/>
        <v>3000</v>
      </c>
      <c r="AC38" s="492">
        <f t="shared" si="114"/>
        <v>3000</v>
      </c>
      <c r="AD38" s="492">
        <f t="shared" si="115"/>
        <v>3000</v>
      </c>
      <c r="AE38" s="492">
        <f t="shared" si="98"/>
        <v>9000</v>
      </c>
      <c r="AF38" s="222"/>
      <c r="AG38" s="532">
        <f t="shared" si="116"/>
        <v>3000</v>
      </c>
      <c r="AH38" s="492">
        <f t="shared" si="117"/>
        <v>3000</v>
      </c>
      <c r="AI38" s="492">
        <f t="shared" si="118"/>
        <v>3000</v>
      </c>
      <c r="AJ38" s="492">
        <f t="shared" si="99"/>
        <v>9000</v>
      </c>
      <c r="AK38" s="222"/>
      <c r="AL38" s="532">
        <f t="shared" si="119"/>
        <v>3000</v>
      </c>
      <c r="AM38" s="492">
        <f t="shared" si="120"/>
        <v>3000</v>
      </c>
      <c r="AN38" s="492">
        <f t="shared" si="121"/>
        <v>3000</v>
      </c>
      <c r="AO38" s="492">
        <f t="shared" si="100"/>
        <v>9000</v>
      </c>
      <c r="AP38" s="222"/>
      <c r="AQ38" s="532">
        <f t="shared" si="122"/>
        <v>3000</v>
      </c>
      <c r="AR38" s="492">
        <f t="shared" si="123"/>
        <v>3000</v>
      </c>
      <c r="AS38" s="492">
        <f t="shared" si="124"/>
        <v>3000</v>
      </c>
      <c r="AT38" s="492">
        <f t="shared" si="101"/>
        <v>9000</v>
      </c>
      <c r="AU38" s="222"/>
      <c r="AV38" s="617"/>
      <c r="AW38" s="532">
        <f t="shared" si="125"/>
        <v>8000</v>
      </c>
      <c r="AX38" s="492">
        <f t="shared" si="126"/>
        <v>8000</v>
      </c>
      <c r="AY38" s="492">
        <f t="shared" si="127"/>
        <v>8000</v>
      </c>
      <c r="AZ38" s="492">
        <f t="shared" si="102"/>
        <v>24000</v>
      </c>
      <c r="BA38" s="222"/>
      <c r="BB38" s="532">
        <f t="shared" si="128"/>
        <v>8000</v>
      </c>
      <c r="BC38" s="492">
        <f t="shared" si="129"/>
        <v>8000</v>
      </c>
      <c r="BD38" s="492">
        <f t="shared" si="130"/>
        <v>8000</v>
      </c>
      <c r="BE38" s="492">
        <f t="shared" si="103"/>
        <v>24000</v>
      </c>
      <c r="BF38" s="222"/>
      <c r="BG38" s="532">
        <f t="shared" si="131"/>
        <v>8000</v>
      </c>
      <c r="BH38" s="492">
        <f t="shared" si="132"/>
        <v>8000</v>
      </c>
      <c r="BI38" s="492">
        <f t="shared" si="133"/>
        <v>8000</v>
      </c>
      <c r="BJ38" s="492">
        <f t="shared" si="104"/>
        <v>24000</v>
      </c>
      <c r="BK38" s="222"/>
      <c r="BL38" s="532">
        <f t="shared" si="134"/>
        <v>8000</v>
      </c>
      <c r="BM38" s="492">
        <f t="shared" si="135"/>
        <v>8000</v>
      </c>
      <c r="BN38" s="492">
        <f t="shared" si="136"/>
        <v>8000</v>
      </c>
      <c r="BO38" s="492">
        <f t="shared" si="105"/>
        <v>24000</v>
      </c>
      <c r="BP38" s="222"/>
      <c r="BQ38" s="221"/>
      <c r="BR38" s="532">
        <f t="shared" si="137"/>
        <v>8000</v>
      </c>
      <c r="BS38" s="492">
        <f t="shared" si="138"/>
        <v>8000</v>
      </c>
      <c r="BT38" s="492">
        <f t="shared" si="139"/>
        <v>8000</v>
      </c>
      <c r="BU38" s="492">
        <f t="shared" si="106"/>
        <v>24000</v>
      </c>
      <c r="BV38" s="222"/>
      <c r="BW38" s="532">
        <f t="shared" si="140"/>
        <v>8000</v>
      </c>
      <c r="BX38" s="492">
        <f t="shared" si="141"/>
        <v>8000</v>
      </c>
      <c r="BY38" s="492">
        <f t="shared" si="142"/>
        <v>8000</v>
      </c>
      <c r="BZ38" s="492">
        <f t="shared" si="107"/>
        <v>24000</v>
      </c>
      <c r="CA38" s="222"/>
      <c r="CB38" s="532">
        <f t="shared" si="143"/>
        <v>8000</v>
      </c>
      <c r="CC38" s="492">
        <f t="shared" si="144"/>
        <v>8000</v>
      </c>
      <c r="CD38" s="492">
        <f t="shared" si="145"/>
        <v>8000</v>
      </c>
      <c r="CE38" s="492">
        <f t="shared" si="108"/>
        <v>24000</v>
      </c>
      <c r="CF38" s="222"/>
      <c r="CG38" s="532">
        <f t="shared" si="146"/>
        <v>8000</v>
      </c>
      <c r="CH38" s="492">
        <f t="shared" si="147"/>
        <v>8000</v>
      </c>
      <c r="CI38" s="492">
        <f t="shared" si="148"/>
        <v>8000</v>
      </c>
      <c r="CJ38" s="492">
        <f t="shared" si="109"/>
        <v>24000</v>
      </c>
      <c r="CK38" s="222"/>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row>
    <row r="39" spans="1:179" s="57" customFormat="1" ht="9.75" customHeight="1" x14ac:dyDescent="0.15">
      <c r="A39" s="488" t="s">
        <v>193</v>
      </c>
      <c r="B39" s="145">
        <v>0.2</v>
      </c>
      <c r="C39" s="126">
        <v>0</v>
      </c>
      <c r="D39" s="291"/>
      <c r="E39" s="624"/>
      <c r="F39" s="226">
        <v>0</v>
      </c>
      <c r="G39" s="492">
        <f>IF(IF(F30&gt;0,F30*((0*(IF(ISBLANK(E39),C39,E39)))+(IF(ISBLANK(D39),B39,D39))),0)&lt;0,0,IF(F30&gt;0,F30*((0*(IF(ISBLANK(E39),C39,E39)))+(IF(ISBLANK(D39),B39,D39))),0))/3</f>
        <v>0</v>
      </c>
      <c r="H39" s="492">
        <f>IF(IF(G30&gt;0,G30*((0*(IF(ISBLANK(E39),C39,E39)))+(IF(ISBLANK(D39),B39,D39))),0)&lt;0,0,IF(G30&gt;0,G30*((0*(IF(ISBLANK(E39),C39,E39)))+(IF(ISBLANK(D39),B39,D39))),0))/3</f>
        <v>0</v>
      </c>
      <c r="I39" s="492">
        <f>IF(IF(H30&gt;0,H30*((1*(IF(ISBLANK(E39),C39,E39)))+(IF(ISBLANK(D39),B39,D39))),0)&lt;0,0,IF(H30&gt;0,H30*((1*(IF(ISBLANK(E39),C39,E39)))+(IF(ISBLANK(D39),B39,D39))),0))/3</f>
        <v>1199.594158992704</v>
      </c>
      <c r="J39" s="217">
        <f t="shared" si="110"/>
        <v>3598.7824769781118</v>
      </c>
      <c r="K39" s="492">
        <f>IF(IF(I30&gt;0,I30*((2*(IF(ISBLANK(E39),C39,E39)))+(IF(ISBLANK(D39),B39,D39))),0)&lt;0,0,IF(I30&gt;0,I30*((2*(IF(ISBLANK(E39),C39,E39)))+(IF(ISBLANK(D39),B39,D39))),0))/3</f>
        <v>6492.6180542261036</v>
      </c>
      <c r="L39" s="492">
        <f>IF(IF(K30&gt;0,K30*((3*(IF(ISBLANK(E39),C39,E39)))+(IF(ISBLANK(D39),B39,D39))),0)&lt;0,0,IF(K30&gt;0,K30*((3*(IF(ISBLANK(E39),C39,E39)))+(IF(ISBLANK(D39),B39,D39))),0))/3</f>
        <v>13477.171456379188</v>
      </c>
      <c r="M39" s="492">
        <f>IF(IF(L30&gt;0,L30*((4*(IF(ISBLANK(E39),C39,E39)))+(IF(ISBLANK(D39),B39,D39))),0)&lt;0,0,IF(L30&gt;0,L30*((4*(IF(ISBLANK(E39),C39,E39)))+(IF(ISBLANK(D39),B39,D39))),0))/3</f>
        <v>27585.408503579893</v>
      </c>
      <c r="N39" s="492">
        <f>IF(IF(M30&gt;0,M30*((5*(IF(ISBLANK(E39),C39,E39)))+(IF(ISBLANK(D39),B39,D39))),0)&lt;0,0,IF(M30&gt;0,M30*((5*(IF(ISBLANK(E39),C39,E39)))+(IF(ISBLANK(D39),B39,D39))),0))/3</f>
        <v>50275.840659714879</v>
      </c>
      <c r="O39" s="217">
        <f t="shared" si="111"/>
        <v>293493.1160217002</v>
      </c>
      <c r="P39" s="492">
        <f>IF(IF(N30&gt;0,N30*((6*(IF(ISBLANK(E39),C39,E39)))+(IF(ISBLANK(D39),B39,D39))),0)&lt;0,0,IF(N30&gt;0,N30*((6*(IF(ISBLANK(E39),C39,E39)))+(IF(ISBLANK(D39),B39,D39))),0))/3</f>
        <v>90690.168998086112</v>
      </c>
      <c r="Q39" s="492">
        <f>IF(IF(P30&gt;0,P30*((7*(IF(ISBLANK(E39),C39,E39)))+(IF(ISBLANK(D39),B39,D39))),0)&lt;0,0,IF(P30&gt;0,P30*((7*(IF(ISBLANK(E39),C39,E39)))+(IF(ISBLANK(D39),B39,D39))),0))/3</f>
        <v>165944.75764663066</v>
      </c>
      <c r="R39" s="492">
        <f>IF(IF(Q30&gt;0,Q30*((8*(IF(ISBLANK(E39),C39,E39)))+(IF(ISBLANK(D39),B39,D39))),0)&lt;0,0,IF(Q30&gt;0,Q30*((8*(IF(ISBLANK(E39),C39,E39)))+(IF(ISBLANK(D39),B39,D39))),0))/3</f>
        <v>308787.61349049304</v>
      </c>
      <c r="S39" s="492">
        <f>IF(IF(R30&gt;0,R30*((9*(IF(ISBLANK(E39),C39,E39)))+(IF(ISBLANK(D39),B39,D39))),0)&lt;0,0,IF(R30&gt;0,R30*((9*(IF(ISBLANK(E39),C39,E39)))+(IF(ISBLANK(D39),B39,D39))),0))/3</f>
        <v>587793.89525196201</v>
      </c>
      <c r="T39" s="218">
        <f t="shared" si="112"/>
        <v>3459649.3061615154</v>
      </c>
      <c r="U39" s="221"/>
      <c r="V39" s="239">
        <f>SUM((V30*(IF(ISBLANK(D39),B39,D39)+(10*IF(ISBLANK(E39),C39,E39))))+(S30*(IF(ISBLANK(D39),B39,D39)+(10*IF(ISBLANK(E39),C39,E39)))))</f>
        <v>41877340.776769213</v>
      </c>
      <c r="W39" s="217">
        <f>SUM((W30*(IF(ISBLANK(D39),B39,D39)+(11*IF(ISBLANK(E39),C39,E39)))))</f>
        <v>113442239.8942211</v>
      </c>
      <c r="X39" s="242">
        <f>SUM((X30*(IF(ISBLANK(D39),B39,D39)+(12*IF(ISBLANK(E39),C39,E39)))))</f>
        <v>257058748.10849333</v>
      </c>
      <c r="Y39" s="221"/>
      <c r="Z39" s="578">
        <v>0</v>
      </c>
      <c r="AA39" s="617"/>
      <c r="AB39" s="532">
        <f>F39</f>
        <v>0</v>
      </c>
      <c r="AC39" s="492">
        <f>F39</f>
        <v>0</v>
      </c>
      <c r="AD39" s="492">
        <f>F39</f>
        <v>0</v>
      </c>
      <c r="AE39" s="492">
        <f t="shared" si="98"/>
        <v>0</v>
      </c>
      <c r="AF39" s="222"/>
      <c r="AG39" s="532">
        <f>G39</f>
        <v>0</v>
      </c>
      <c r="AH39" s="492">
        <f>G39</f>
        <v>0</v>
      </c>
      <c r="AI39" s="492">
        <f>G39</f>
        <v>0</v>
      </c>
      <c r="AJ39" s="492">
        <f t="shared" si="99"/>
        <v>0</v>
      </c>
      <c r="AK39" s="222"/>
      <c r="AL39" s="532">
        <f>H39</f>
        <v>0</v>
      </c>
      <c r="AM39" s="492">
        <f>H39</f>
        <v>0</v>
      </c>
      <c r="AN39" s="492">
        <f>H39</f>
        <v>0</v>
      </c>
      <c r="AO39" s="492">
        <f t="shared" si="100"/>
        <v>0</v>
      </c>
      <c r="AP39" s="222"/>
      <c r="AQ39" s="532">
        <f>I39</f>
        <v>1199.594158992704</v>
      </c>
      <c r="AR39" s="492">
        <f>I39</f>
        <v>1199.594158992704</v>
      </c>
      <c r="AS39" s="492">
        <f>I39</f>
        <v>1199.594158992704</v>
      </c>
      <c r="AT39" s="492">
        <f t="shared" si="101"/>
        <v>3598.7824769781118</v>
      </c>
      <c r="AU39" s="222"/>
      <c r="AV39" s="617"/>
      <c r="AW39" s="532">
        <f>K39</f>
        <v>6492.6180542261036</v>
      </c>
      <c r="AX39" s="492">
        <f>K39</f>
        <v>6492.6180542261036</v>
      </c>
      <c r="AY39" s="492">
        <f>K39</f>
        <v>6492.6180542261036</v>
      </c>
      <c r="AZ39" s="492">
        <f t="shared" si="102"/>
        <v>19477.854162678312</v>
      </c>
      <c r="BA39" s="222"/>
      <c r="BB39" s="532">
        <f>L39</f>
        <v>13477.171456379188</v>
      </c>
      <c r="BC39" s="492">
        <f>L39</f>
        <v>13477.171456379188</v>
      </c>
      <c r="BD39" s="492">
        <f>L39</f>
        <v>13477.171456379188</v>
      </c>
      <c r="BE39" s="492">
        <f t="shared" si="103"/>
        <v>40431.514369137563</v>
      </c>
      <c r="BF39" s="222"/>
      <c r="BG39" s="532">
        <f>M39</f>
        <v>27585.408503579893</v>
      </c>
      <c r="BH39" s="492">
        <f>M39</f>
        <v>27585.408503579893</v>
      </c>
      <c r="BI39" s="492">
        <f>M39</f>
        <v>27585.408503579893</v>
      </c>
      <c r="BJ39" s="492">
        <f t="shared" si="104"/>
        <v>82756.225510739678</v>
      </c>
      <c r="BK39" s="222"/>
      <c r="BL39" s="532">
        <f>N39</f>
        <v>50275.840659714879</v>
      </c>
      <c r="BM39" s="492">
        <f>N39</f>
        <v>50275.840659714879</v>
      </c>
      <c r="BN39" s="492">
        <f>N39</f>
        <v>50275.840659714879</v>
      </c>
      <c r="BO39" s="492">
        <f t="shared" si="105"/>
        <v>150827.52197914463</v>
      </c>
      <c r="BP39" s="222"/>
      <c r="BQ39" s="221"/>
      <c r="BR39" s="532">
        <f>P39</f>
        <v>90690.168998086112</v>
      </c>
      <c r="BS39" s="492">
        <f>P39</f>
        <v>90690.168998086112</v>
      </c>
      <c r="BT39" s="492">
        <f>P39</f>
        <v>90690.168998086112</v>
      </c>
      <c r="BU39" s="492">
        <f t="shared" si="106"/>
        <v>272070.50699425832</v>
      </c>
      <c r="BV39" s="222"/>
      <c r="BW39" s="532">
        <f>Q39</f>
        <v>165944.75764663066</v>
      </c>
      <c r="BX39" s="492">
        <f>Q39</f>
        <v>165944.75764663066</v>
      </c>
      <c r="BY39" s="492">
        <f>Q39</f>
        <v>165944.75764663066</v>
      </c>
      <c r="BZ39" s="492">
        <f t="shared" si="107"/>
        <v>497834.27293989202</v>
      </c>
      <c r="CA39" s="222"/>
      <c r="CB39" s="532">
        <f>R39</f>
        <v>308787.61349049304</v>
      </c>
      <c r="CC39" s="492">
        <f>R39</f>
        <v>308787.61349049304</v>
      </c>
      <c r="CD39" s="492">
        <f>R39</f>
        <v>308787.61349049304</v>
      </c>
      <c r="CE39" s="492">
        <f t="shared" si="108"/>
        <v>926362.84047147911</v>
      </c>
      <c r="CF39" s="222"/>
      <c r="CG39" s="532">
        <f>S39</f>
        <v>587793.89525196201</v>
      </c>
      <c r="CH39" s="492">
        <f>S39</f>
        <v>587793.89525196201</v>
      </c>
      <c r="CI39" s="492">
        <f>S39</f>
        <v>587793.89525196201</v>
      </c>
      <c r="CJ39" s="492">
        <f t="shared" si="109"/>
        <v>1763381.6857558861</v>
      </c>
      <c r="CK39" s="222"/>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row>
    <row r="40" spans="1:179" s="57" customFormat="1" ht="9.75" customHeight="1" x14ac:dyDescent="0.15">
      <c r="A40" s="488" t="s">
        <v>194</v>
      </c>
      <c r="B40" s="145">
        <v>0.25</v>
      </c>
      <c r="C40" s="126">
        <v>0</v>
      </c>
      <c r="D40" s="291"/>
      <c r="E40" s="624"/>
      <c r="F40" s="226">
        <v>0</v>
      </c>
      <c r="G40" s="492">
        <f>IF(IF(F49&gt;0,F49*((0*(IF(ISBLANK(E40),C40,E40)))+(IF(ISBLANK(D40),B40,D40))),0)&lt;0,0,IF(F49&gt;0,F49*((0*(IF(ISBLANK(E40),C40,E40)))+(IF(ISBLANK(D40),B40,D40))),0))/3</f>
        <v>0</v>
      </c>
      <c r="H40" s="492">
        <f>IF(IF(G49&gt;0,G49*((0*(IF(ISBLANK(E40),C40,E40)))+(IF(ISBLANK(D40),B40,D40))),0)&lt;0,0,IF(G49&gt;0,G49*((0*(IF(ISBLANK(E40),C40,E40)))+(IF(ISBLANK(D40),B40,D40))),0))/3</f>
        <v>0</v>
      </c>
      <c r="I40" s="492">
        <f>IF(IF(H49&gt;0,H49*((1*(IF(ISBLANK(E40),C40,E40)))+(IF(ISBLANK(D40),B40,D40))),0)&lt;0,0,IF(H49&gt;0,H49*((1*(IF(ISBLANK(E40),C40,E40)))+(IF(ISBLANK(D40),B40,D40))),0))/3</f>
        <v>0</v>
      </c>
      <c r="J40" s="217">
        <f t="shared" si="110"/>
        <v>0</v>
      </c>
      <c r="K40" s="492">
        <f>IF(IF(I49&gt;0,I49*((2*(IF(ISBLANK(E40),C40,E40)))+(IF(ISBLANK(D40),B40,D40))),0)&lt;0,0,IF(I49&gt;0,I49*((2*(IF(ISBLANK(E40),C40,E40)))+(IF(ISBLANK(D40),B40,D40))),0))/3</f>
        <v>0</v>
      </c>
      <c r="L40" s="492">
        <f>IF(IF(K49&gt;0,K49*((3*(IF(ISBLANK(E40),C40,E40)))+(IF(ISBLANK(D40),B40,D40))),0)&lt;0,0,IF(K49&gt;0,K49*((3*(IF(ISBLANK(E40),C40,E40)))+(IF(ISBLANK(D40),B40,D40))),0))/3</f>
        <v>0</v>
      </c>
      <c r="M40" s="492">
        <f>IF(IF(L49&gt;0,L49*((4*(IF(ISBLANK(E40),C40,E40)))+(IF(ISBLANK(D40),B40,D40))),0)&lt;0,0,IF(L49&gt;0,L49*((4*(IF(ISBLANK(E40),C40,E40)))+(IF(ISBLANK(D40),B40,D40))),0))/3</f>
        <v>2478.5198960703224</v>
      </c>
      <c r="N40" s="492">
        <f>IF(IF(M49&gt;0,M49*((5*(IF(ISBLANK(E40),C40,E40)))+(IF(ISBLANK(D40),B40,D40))),0)&lt;0,0,IF(M49&gt;0,M49*((5*(IF(ISBLANK(E40),C40,E40)))+(IF(ISBLANK(D40),B40,D40))),0))/3</f>
        <v>11994.165978216624</v>
      </c>
      <c r="O40" s="217">
        <f t="shared" si="111"/>
        <v>43418.057622860841</v>
      </c>
      <c r="P40" s="492">
        <f>IF(IF(N49&gt;0,N49*((6*(IF(ISBLANK(E40),C40,E40)))+(IF(ISBLANK(D40),B40,D40))),0)&lt;0,0,IF(N49&gt;0,N49*((6*(IF(ISBLANK(E40),C40,E40)))+(IF(ISBLANK(D40),B40,D40))),0))/3</f>
        <v>30805.083910784208</v>
      </c>
      <c r="Q40" s="492">
        <f>IF(IF(P49&gt;0,P49*((7*(IF(ISBLANK(E40),C40,E40)))+(IF(ISBLANK(D40),B40,D40))),0)&lt;0,0,IF(P49&gt;0,P49*((7*(IF(ISBLANK(E40),C40,E40)))+(IF(ISBLANK(D40),B40,D40))),0))/3</f>
        <v>70195.797414665329</v>
      </c>
      <c r="R40" s="492">
        <f>IF(IF(Q49&gt;0,Q49*((8*(IF(ISBLANK(E40),C40,E40)))+(IF(ISBLANK(D40),B40,D40))),0)&lt;0,0,IF(Q49&gt;0,Q49*((8*(IF(ISBLANK(E40),C40,E40)))+(IF(ISBLANK(D40),B40,D40))),0))/3</f>
        <v>151292.0043358301</v>
      </c>
      <c r="S40" s="492">
        <f>IF(IF(R49&gt;0,R49*((9*(IF(ISBLANK(E40),C40,E40)))+(IF(ISBLANK(D40),B40,D40))),0)&lt;0,0,IF(R49&gt;0,R49*((9*(IF(ISBLANK(E40),C40,E40)))+(IF(ISBLANK(D40),B40,D40))),0))/3</f>
        <v>323260.51984695351</v>
      </c>
      <c r="T40" s="218">
        <f t="shared" si="112"/>
        <v>1726660.2165246995</v>
      </c>
      <c r="U40" s="221"/>
      <c r="V40" s="239">
        <f>SUM(IF(S49&lt;0,0,S49*((10*(IF(ISBLANK(E40),C40,E40)))+(IF(ISBLANK(D40),B40,D40)))))</f>
        <v>2067940.5800982621</v>
      </c>
      <c r="W40" s="217">
        <f>SUM(IF(V49&lt;0,0,V49*((11*(IF(ISBLANK(E40),C40,E40)))+(IF(ISBLANK(D40),B40,D40)))))</f>
        <v>19371772.798015747</v>
      </c>
      <c r="X40" s="242">
        <f>SUM(IF(W49&lt;0,0,W49*((12*(IF(ISBLANK(E40),C40,E40)))+(IF(ISBLANK(D40),B40,D40)))))</f>
        <v>77592276.015108109</v>
      </c>
      <c r="Y40" s="221"/>
      <c r="Z40" s="578">
        <v>0</v>
      </c>
      <c r="AA40" s="617"/>
      <c r="AB40" s="532">
        <f>F40</f>
        <v>0</v>
      </c>
      <c r="AC40" s="492">
        <f>F40</f>
        <v>0</v>
      </c>
      <c r="AD40" s="492">
        <f>F40</f>
        <v>0</v>
      </c>
      <c r="AE40" s="492">
        <f t="shared" si="98"/>
        <v>0</v>
      </c>
      <c r="AF40" s="222"/>
      <c r="AG40" s="532">
        <f>G40</f>
        <v>0</v>
      </c>
      <c r="AH40" s="492">
        <f>G40</f>
        <v>0</v>
      </c>
      <c r="AI40" s="492">
        <f>G40</f>
        <v>0</v>
      </c>
      <c r="AJ40" s="492">
        <f t="shared" si="99"/>
        <v>0</v>
      </c>
      <c r="AK40" s="222"/>
      <c r="AL40" s="532">
        <f>H40</f>
        <v>0</v>
      </c>
      <c r="AM40" s="492">
        <f>H40</f>
        <v>0</v>
      </c>
      <c r="AN40" s="492">
        <f>H40</f>
        <v>0</v>
      </c>
      <c r="AO40" s="492">
        <f t="shared" si="100"/>
        <v>0</v>
      </c>
      <c r="AP40" s="222"/>
      <c r="AQ40" s="532">
        <f>I40</f>
        <v>0</v>
      </c>
      <c r="AR40" s="492">
        <f>I40</f>
        <v>0</v>
      </c>
      <c r="AS40" s="492">
        <f>I40</f>
        <v>0</v>
      </c>
      <c r="AT40" s="492">
        <f t="shared" si="101"/>
        <v>0</v>
      </c>
      <c r="AU40" s="222"/>
      <c r="AV40" s="617"/>
      <c r="AW40" s="532">
        <f>K40</f>
        <v>0</v>
      </c>
      <c r="AX40" s="492">
        <f>K40</f>
        <v>0</v>
      </c>
      <c r="AY40" s="492">
        <f>K40</f>
        <v>0</v>
      </c>
      <c r="AZ40" s="492">
        <f t="shared" si="102"/>
        <v>0</v>
      </c>
      <c r="BA40" s="222"/>
      <c r="BB40" s="532">
        <f>L40</f>
        <v>0</v>
      </c>
      <c r="BC40" s="492">
        <f>L40</f>
        <v>0</v>
      </c>
      <c r="BD40" s="492">
        <f>L40</f>
        <v>0</v>
      </c>
      <c r="BE40" s="492">
        <f t="shared" si="103"/>
        <v>0</v>
      </c>
      <c r="BF40" s="222"/>
      <c r="BG40" s="532">
        <f>M40</f>
        <v>2478.5198960703224</v>
      </c>
      <c r="BH40" s="492">
        <f>M40</f>
        <v>2478.5198960703224</v>
      </c>
      <c r="BI40" s="492">
        <f>M40</f>
        <v>2478.5198960703224</v>
      </c>
      <c r="BJ40" s="492">
        <f t="shared" si="104"/>
        <v>7435.5596882109676</v>
      </c>
      <c r="BK40" s="222"/>
      <c r="BL40" s="532">
        <f>N40</f>
        <v>11994.165978216624</v>
      </c>
      <c r="BM40" s="492">
        <f>N40</f>
        <v>11994.165978216624</v>
      </c>
      <c r="BN40" s="492">
        <f>N40</f>
        <v>11994.165978216624</v>
      </c>
      <c r="BO40" s="492">
        <f t="shared" si="105"/>
        <v>35982.497934649873</v>
      </c>
      <c r="BP40" s="222"/>
      <c r="BQ40" s="221"/>
      <c r="BR40" s="532">
        <f>P40</f>
        <v>30805.083910784208</v>
      </c>
      <c r="BS40" s="492">
        <f>P40</f>
        <v>30805.083910784208</v>
      </c>
      <c r="BT40" s="492">
        <f>P40</f>
        <v>30805.083910784208</v>
      </c>
      <c r="BU40" s="492">
        <f t="shared" si="106"/>
        <v>92415.251732352626</v>
      </c>
      <c r="BV40" s="222"/>
      <c r="BW40" s="532">
        <f>Q40</f>
        <v>70195.797414665329</v>
      </c>
      <c r="BX40" s="492">
        <f>Q40</f>
        <v>70195.797414665329</v>
      </c>
      <c r="BY40" s="492">
        <f>Q40</f>
        <v>70195.797414665329</v>
      </c>
      <c r="BZ40" s="492">
        <f t="shared" si="107"/>
        <v>210587.39224399597</v>
      </c>
      <c r="CA40" s="222"/>
      <c r="CB40" s="532">
        <f>R40</f>
        <v>151292.0043358301</v>
      </c>
      <c r="CC40" s="492">
        <f>R40</f>
        <v>151292.0043358301</v>
      </c>
      <c r="CD40" s="492">
        <f>R40</f>
        <v>151292.0043358301</v>
      </c>
      <c r="CE40" s="492">
        <f t="shared" si="108"/>
        <v>453876.01300749031</v>
      </c>
      <c r="CF40" s="222"/>
      <c r="CG40" s="532">
        <f>S40</f>
        <v>323260.51984695351</v>
      </c>
      <c r="CH40" s="492">
        <f>S40</f>
        <v>323260.51984695351</v>
      </c>
      <c r="CI40" s="492">
        <f>S40</f>
        <v>323260.51984695351</v>
      </c>
      <c r="CJ40" s="492">
        <f t="shared" si="109"/>
        <v>969781.55954086059</v>
      </c>
      <c r="CK40" s="222"/>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row>
    <row r="41" spans="1:179" s="57" customFormat="1" ht="9.75" customHeight="1" x14ac:dyDescent="0.15">
      <c r="A41" s="488" t="s">
        <v>195</v>
      </c>
      <c r="B41" s="239">
        <v>2500</v>
      </c>
      <c r="C41" s="218">
        <v>750</v>
      </c>
      <c r="D41" s="228"/>
      <c r="E41" s="229"/>
      <c r="F41" s="491">
        <f>IF(ISBLANK(D41),B41,D41)</f>
        <v>2500</v>
      </c>
      <c r="G41" s="492">
        <f>SUM((IF(F49&gt;0,IF(ISBLANK(E41),C41,E41),0)+F41))</f>
        <v>2500</v>
      </c>
      <c r="H41" s="492">
        <f>SUM((IF(G49&gt;0,IF(ISBLANK(E41),C41,E41),0)+G41))</f>
        <v>2500</v>
      </c>
      <c r="I41" s="492">
        <f>SUM((IF(H49&gt;0,IF(ISBLANK(E41),C41,E41),0)+H41))</f>
        <v>2500</v>
      </c>
      <c r="J41" s="217">
        <f t="shared" si="110"/>
        <v>30000</v>
      </c>
      <c r="K41" s="492">
        <f>SUM((IF(I49&gt;0,IF(ISBLANK(E41),C41,E41),0)+I41))</f>
        <v>2500</v>
      </c>
      <c r="L41" s="492">
        <f>SUM((IF(K49&gt;0,IF(ISBLANK(E41),C41,E41),0)+K41))</f>
        <v>2500</v>
      </c>
      <c r="M41" s="492">
        <f>SUM((IF(L49&gt;0,IF(ISBLANK(E41),C41,E41),0)+L41))</f>
        <v>3250</v>
      </c>
      <c r="N41" s="492">
        <f>SUM((IF(M49&gt;0,IF(ISBLANK(E41),C41,E41),0)+M41))</f>
        <v>4000</v>
      </c>
      <c r="O41" s="217">
        <f t="shared" si="111"/>
        <v>36750</v>
      </c>
      <c r="P41" s="492">
        <f>SUM((IF(N49&gt;0,IF(ISBLANK(E41),C41,E41),0)+N41))</f>
        <v>4750</v>
      </c>
      <c r="Q41" s="492">
        <f>SUM((IF(P49&gt;0,IF(ISBLANK(E41),C41,E41),0)+P41))</f>
        <v>5500</v>
      </c>
      <c r="R41" s="492">
        <f>SUM((IF(Q49&gt;0,IF(ISBLANK(E41),C41,E41),0)+Q41))</f>
        <v>6250</v>
      </c>
      <c r="S41" s="492">
        <f>SUM((IF(R49&gt;0,IF(ISBLANK(E41),C41,E41),0)+R41))</f>
        <v>7000</v>
      </c>
      <c r="T41" s="218">
        <f t="shared" si="112"/>
        <v>70500</v>
      </c>
      <c r="U41" s="221"/>
      <c r="V41" s="239">
        <f>SUM((IF(S49&gt;0,IF(ISBLANK(E41),C41,E41),0)+S41))</f>
        <v>7750</v>
      </c>
      <c r="W41" s="217">
        <f>SUM((IF(V49&gt;0,IF(ISBLANK(E41),C41,E41),0)+V41))</f>
        <v>8500</v>
      </c>
      <c r="X41" s="242">
        <f>SUM((IF(W49&gt;0,IF(ISBLANK(E41),C41,E41),0)+W41))</f>
        <v>9250</v>
      </c>
      <c r="Y41" s="221"/>
      <c r="Z41" s="578">
        <v>55000</v>
      </c>
      <c r="AA41" s="617"/>
      <c r="AB41" s="532">
        <f t="shared" si="113"/>
        <v>2500</v>
      </c>
      <c r="AC41" s="492">
        <f t="shared" si="114"/>
        <v>2500</v>
      </c>
      <c r="AD41" s="492">
        <f t="shared" si="115"/>
        <v>2500</v>
      </c>
      <c r="AE41" s="492">
        <f t="shared" si="98"/>
        <v>7500</v>
      </c>
      <c r="AF41" s="222"/>
      <c r="AG41" s="532">
        <f t="shared" si="116"/>
        <v>2500</v>
      </c>
      <c r="AH41" s="492">
        <f>G41</f>
        <v>2500</v>
      </c>
      <c r="AI41" s="492">
        <f>G41</f>
        <v>2500</v>
      </c>
      <c r="AJ41" s="492">
        <f t="shared" si="99"/>
        <v>7500</v>
      </c>
      <c r="AK41" s="222"/>
      <c r="AL41" s="532">
        <f>H41</f>
        <v>2500</v>
      </c>
      <c r="AM41" s="492">
        <f>H41</f>
        <v>2500</v>
      </c>
      <c r="AN41" s="492">
        <f>H41</f>
        <v>2500</v>
      </c>
      <c r="AO41" s="492">
        <f t="shared" si="100"/>
        <v>7500</v>
      </c>
      <c r="AP41" s="222"/>
      <c r="AQ41" s="532">
        <f t="shared" si="122"/>
        <v>2500</v>
      </c>
      <c r="AR41" s="492">
        <f t="shared" si="123"/>
        <v>2500</v>
      </c>
      <c r="AS41" s="492">
        <f t="shared" si="124"/>
        <v>2500</v>
      </c>
      <c r="AT41" s="492">
        <f t="shared" si="101"/>
        <v>7500</v>
      </c>
      <c r="AU41" s="222"/>
      <c r="AV41" s="617"/>
      <c r="AW41" s="532">
        <f t="shared" si="125"/>
        <v>2500</v>
      </c>
      <c r="AX41" s="492">
        <f t="shared" si="126"/>
        <v>2500</v>
      </c>
      <c r="AY41" s="492">
        <f t="shared" si="127"/>
        <v>2500</v>
      </c>
      <c r="AZ41" s="492">
        <f t="shared" si="102"/>
        <v>7500</v>
      </c>
      <c r="BA41" s="222"/>
      <c r="BB41" s="532">
        <f t="shared" si="128"/>
        <v>2500</v>
      </c>
      <c r="BC41" s="492">
        <f t="shared" si="129"/>
        <v>2500</v>
      </c>
      <c r="BD41" s="492">
        <f t="shared" si="130"/>
        <v>2500</v>
      </c>
      <c r="BE41" s="492">
        <f t="shared" si="103"/>
        <v>7500</v>
      </c>
      <c r="BF41" s="222"/>
      <c r="BG41" s="532">
        <f t="shared" si="131"/>
        <v>3250</v>
      </c>
      <c r="BH41" s="492">
        <f t="shared" si="132"/>
        <v>3250</v>
      </c>
      <c r="BI41" s="492">
        <f t="shared" si="133"/>
        <v>3250</v>
      </c>
      <c r="BJ41" s="492">
        <f t="shared" si="104"/>
        <v>9750</v>
      </c>
      <c r="BK41" s="222"/>
      <c r="BL41" s="532">
        <f>N41</f>
        <v>4000</v>
      </c>
      <c r="BM41" s="492">
        <f t="shared" si="135"/>
        <v>4000</v>
      </c>
      <c r="BN41" s="492">
        <f t="shared" si="136"/>
        <v>4000</v>
      </c>
      <c r="BO41" s="492">
        <f t="shared" si="105"/>
        <v>12000</v>
      </c>
      <c r="BP41" s="222"/>
      <c r="BQ41" s="221"/>
      <c r="BR41" s="532">
        <f t="shared" si="137"/>
        <v>4750</v>
      </c>
      <c r="BS41" s="492">
        <f t="shared" si="138"/>
        <v>4750</v>
      </c>
      <c r="BT41" s="492">
        <f t="shared" si="139"/>
        <v>4750</v>
      </c>
      <c r="BU41" s="492">
        <f t="shared" si="106"/>
        <v>14250</v>
      </c>
      <c r="BV41" s="222"/>
      <c r="BW41" s="532">
        <f t="shared" si="140"/>
        <v>5500</v>
      </c>
      <c r="BX41" s="492">
        <f t="shared" si="141"/>
        <v>5500</v>
      </c>
      <c r="BY41" s="492">
        <f t="shared" si="142"/>
        <v>5500</v>
      </c>
      <c r="BZ41" s="492">
        <f t="shared" si="107"/>
        <v>16500</v>
      </c>
      <c r="CA41" s="222"/>
      <c r="CB41" s="532">
        <f t="shared" si="143"/>
        <v>6250</v>
      </c>
      <c r="CC41" s="492">
        <f t="shared" si="144"/>
        <v>6250</v>
      </c>
      <c r="CD41" s="492">
        <f t="shared" si="145"/>
        <v>6250</v>
      </c>
      <c r="CE41" s="492">
        <f t="shared" si="108"/>
        <v>18750</v>
      </c>
      <c r="CF41" s="222"/>
      <c r="CG41" s="532">
        <f t="shared" si="146"/>
        <v>7000</v>
      </c>
      <c r="CH41" s="492">
        <f t="shared" si="147"/>
        <v>7000</v>
      </c>
      <c r="CI41" s="492">
        <f t="shared" si="148"/>
        <v>7000</v>
      </c>
      <c r="CJ41" s="492">
        <f t="shared" si="109"/>
        <v>21000</v>
      </c>
      <c r="CK41" s="222"/>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row>
    <row r="42" spans="1:179" s="57" customFormat="1" ht="9.75" customHeight="1" x14ac:dyDescent="0.15">
      <c r="A42" s="488" t="s">
        <v>196</v>
      </c>
      <c r="B42" s="239">
        <v>2000</v>
      </c>
      <c r="C42" s="214">
        <v>0.01</v>
      </c>
      <c r="D42" s="228"/>
      <c r="E42" s="225"/>
      <c r="F42" s="491">
        <f>SUM((IF(ISBLANK(D42),B42,D42))+(IF(ISBLANK(E42),C42,E42)*F18))</f>
        <v>2021.4521407384641</v>
      </c>
      <c r="G42" s="492">
        <f>SUM((IF(ISBLANK(D42),B42,D42))+(IF(ISBLANK(E42),C42,E42)*G18))</f>
        <v>2051.1901415290749</v>
      </c>
      <c r="H42" s="492">
        <f>SUM((IF(ISBLANK(D42),B42,D42))+(IF(ISBLANK(E42),C42,E42)*H18))</f>
        <v>2279.4273401953578</v>
      </c>
      <c r="I42" s="492">
        <f>SUM((IF(ISBLANK(D42),B42,D42))+(IF(ISBLANK(E42),C42,E42)*I18))</f>
        <v>2550.0723153422036</v>
      </c>
      <c r="J42" s="217">
        <f t="shared" si="110"/>
        <v>26706.425813415299</v>
      </c>
      <c r="K42" s="492">
        <f>SUM((IF(ISBLANK(D42),B42,D42))+(IF(ISBLANK(E42),C42,E42)*K18))</f>
        <v>2850.2352850812026</v>
      </c>
      <c r="L42" s="492">
        <f>SUM((IF(ISBLANK(D42),B42,D42))+(IF(ISBLANK(E42),C42,E42)*L18))</f>
        <v>3230.3811087883087</v>
      </c>
      <c r="M42" s="492">
        <f>SUM((IF(ISBLANK(D42),B42,D42))+(IF(ISBLANK(E42),C42,E42)*M18))</f>
        <v>3742.5013247158631</v>
      </c>
      <c r="N42" s="492">
        <f>SUM((IF(ISBLANK(D42),B42,D42))+(IF(ISBLANK(E42),C42,E42)*N18))</f>
        <v>4621.172381249673</v>
      </c>
      <c r="O42" s="217">
        <f t="shared" si="111"/>
        <v>43332.870299505143</v>
      </c>
      <c r="P42" s="492">
        <f>SUM((IF(ISBLANK(D42),B42,D42))+(IF(ISBLANK(E42),C42,E42)*P18))</f>
        <v>6112.3944837531581</v>
      </c>
      <c r="Q42" s="492">
        <f>SUM((IF(ISBLANK(D42),B42,D42))+(IF(ISBLANK(E42),C42,E42)*Q18))</f>
        <v>8711.0708655750495</v>
      </c>
      <c r="R42" s="492">
        <f>SUM((IF(ISBLANK(D42),B42,D42))+(IF(ISBLANK(E42),C42,E42)*R18))</f>
        <v>13403.314311950742</v>
      </c>
      <c r="S42" s="492">
        <f>SUM((IF(ISBLANK(D42),B42,D42))+(IF(ISBLANK(E42),C42,E42)*S18))</f>
        <v>22163.530394777932</v>
      </c>
      <c r="T42" s="218">
        <f t="shared" si="112"/>
        <v>151170.93016817066</v>
      </c>
      <c r="U42" s="221"/>
      <c r="V42" s="239">
        <f>SUM((IF(ISBLANK(D42),B42,D42))+(IF(ISBLANK(E42),C42,E42)*V18))*12</f>
        <v>730944.68153203768</v>
      </c>
      <c r="W42" s="217">
        <f>SUM((IF(ISBLANK(D42),B42,D42))+(IF(ISBLANK(E42),C42,E42)*W18))*12</f>
        <v>1705313.0004515641</v>
      </c>
      <c r="X42" s="242">
        <f>SUM((IF(ISBLANK(D42),B42,D42))+(IF(ISBLANK(E42),C42,E42)*X18))*12</f>
        <v>3059361.2767684963</v>
      </c>
      <c r="Y42" s="221"/>
      <c r="Z42" s="578">
        <f>SUM(10105+7000)</f>
        <v>17105</v>
      </c>
      <c r="AA42" s="617"/>
      <c r="AB42" s="532">
        <f t="shared" si="113"/>
        <v>2021.4521407384641</v>
      </c>
      <c r="AC42" s="492">
        <f t="shared" si="114"/>
        <v>2021.4521407384641</v>
      </c>
      <c r="AD42" s="492">
        <f t="shared" si="115"/>
        <v>2021.4521407384641</v>
      </c>
      <c r="AE42" s="492">
        <f t="shared" si="98"/>
        <v>6064.3564222153927</v>
      </c>
      <c r="AF42" s="222"/>
      <c r="AG42" s="532">
        <f t="shared" si="116"/>
        <v>2051.1901415290749</v>
      </c>
      <c r="AH42" s="492">
        <f t="shared" si="117"/>
        <v>2051.1901415290749</v>
      </c>
      <c r="AI42" s="492">
        <f t="shared" si="118"/>
        <v>2051.1901415290749</v>
      </c>
      <c r="AJ42" s="492">
        <f t="shared" si="99"/>
        <v>6153.5704245872248</v>
      </c>
      <c r="AK42" s="222"/>
      <c r="AL42" s="532">
        <f t="shared" si="119"/>
        <v>2279.4273401953578</v>
      </c>
      <c r="AM42" s="492">
        <f t="shared" si="120"/>
        <v>2279.4273401953578</v>
      </c>
      <c r="AN42" s="492">
        <f t="shared" si="121"/>
        <v>2279.4273401953578</v>
      </c>
      <c r="AO42" s="492">
        <f t="shared" si="100"/>
        <v>6838.2820205860735</v>
      </c>
      <c r="AP42" s="222"/>
      <c r="AQ42" s="532">
        <f t="shared" si="122"/>
        <v>2550.0723153422036</v>
      </c>
      <c r="AR42" s="492">
        <f t="shared" si="123"/>
        <v>2550.0723153422036</v>
      </c>
      <c r="AS42" s="492">
        <f t="shared" si="124"/>
        <v>2550.0723153422036</v>
      </c>
      <c r="AT42" s="492">
        <f t="shared" si="101"/>
        <v>7650.2169460266105</v>
      </c>
      <c r="AU42" s="222"/>
      <c r="AV42" s="617"/>
      <c r="AW42" s="532">
        <f t="shared" si="125"/>
        <v>2850.2352850812026</v>
      </c>
      <c r="AX42" s="492">
        <f t="shared" si="126"/>
        <v>2850.2352850812026</v>
      </c>
      <c r="AY42" s="492">
        <f t="shared" si="127"/>
        <v>2850.2352850812026</v>
      </c>
      <c r="AZ42" s="492">
        <f t="shared" si="102"/>
        <v>8550.7058552436083</v>
      </c>
      <c r="BA42" s="222"/>
      <c r="BB42" s="532">
        <f t="shared" si="128"/>
        <v>3230.3811087883087</v>
      </c>
      <c r="BC42" s="492">
        <f t="shared" si="129"/>
        <v>3230.3811087883087</v>
      </c>
      <c r="BD42" s="492">
        <f t="shared" si="130"/>
        <v>3230.3811087883087</v>
      </c>
      <c r="BE42" s="492">
        <f t="shared" si="103"/>
        <v>9691.1433263649269</v>
      </c>
      <c r="BF42" s="222"/>
      <c r="BG42" s="532">
        <f t="shared" si="131"/>
        <v>3742.5013247158631</v>
      </c>
      <c r="BH42" s="492">
        <f t="shared" si="132"/>
        <v>3742.5013247158631</v>
      </c>
      <c r="BI42" s="492">
        <f t="shared" si="133"/>
        <v>3742.5013247158631</v>
      </c>
      <c r="BJ42" s="492">
        <f t="shared" si="104"/>
        <v>11227.503974147588</v>
      </c>
      <c r="BK42" s="222"/>
      <c r="BL42" s="532">
        <f t="shared" si="134"/>
        <v>4621.172381249673</v>
      </c>
      <c r="BM42" s="492">
        <f t="shared" si="135"/>
        <v>4621.172381249673</v>
      </c>
      <c r="BN42" s="492">
        <f t="shared" si="136"/>
        <v>4621.172381249673</v>
      </c>
      <c r="BO42" s="492">
        <f t="shared" si="105"/>
        <v>13863.517143749019</v>
      </c>
      <c r="BP42" s="222"/>
      <c r="BQ42" s="221"/>
      <c r="BR42" s="532">
        <f t="shared" si="137"/>
        <v>6112.3944837531581</v>
      </c>
      <c r="BS42" s="492">
        <f t="shared" si="138"/>
        <v>6112.3944837531581</v>
      </c>
      <c r="BT42" s="492">
        <f t="shared" si="139"/>
        <v>6112.3944837531581</v>
      </c>
      <c r="BU42" s="492">
        <f t="shared" si="106"/>
        <v>18337.183451259472</v>
      </c>
      <c r="BV42" s="222"/>
      <c r="BW42" s="532">
        <f t="shared" si="140"/>
        <v>8711.0708655750495</v>
      </c>
      <c r="BX42" s="492">
        <f t="shared" si="141"/>
        <v>8711.0708655750495</v>
      </c>
      <c r="BY42" s="492">
        <f t="shared" si="142"/>
        <v>8711.0708655750495</v>
      </c>
      <c r="BZ42" s="492">
        <f t="shared" si="107"/>
        <v>26133.212596725149</v>
      </c>
      <c r="CA42" s="222"/>
      <c r="CB42" s="532">
        <f t="shared" si="143"/>
        <v>13403.314311950742</v>
      </c>
      <c r="CC42" s="492">
        <f t="shared" si="144"/>
        <v>13403.314311950742</v>
      </c>
      <c r="CD42" s="492">
        <f t="shared" si="145"/>
        <v>13403.314311950742</v>
      </c>
      <c r="CE42" s="492">
        <f t="shared" si="108"/>
        <v>40209.942935852225</v>
      </c>
      <c r="CF42" s="222"/>
      <c r="CG42" s="532">
        <f t="shared" si="146"/>
        <v>22163.530394777932</v>
      </c>
      <c r="CH42" s="492">
        <f t="shared" si="147"/>
        <v>22163.530394777932</v>
      </c>
      <c r="CI42" s="492">
        <f t="shared" si="148"/>
        <v>22163.530394777932</v>
      </c>
      <c r="CJ42" s="492">
        <f t="shared" si="109"/>
        <v>66490.591184333796</v>
      </c>
      <c r="CK42" s="222"/>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row>
    <row r="43" spans="1:179" s="57" customFormat="1" ht="9.75" customHeight="1" x14ac:dyDescent="0.15">
      <c r="A43" s="488" t="s">
        <v>197</v>
      </c>
      <c r="B43" s="145">
        <v>0.05</v>
      </c>
      <c r="C43" s="126">
        <v>-6.0000000000000001E-3</v>
      </c>
      <c r="D43" s="291"/>
      <c r="E43" s="624"/>
      <c r="F43" s="226">
        <v>10000</v>
      </c>
      <c r="G43" s="227">
        <v>10000</v>
      </c>
      <c r="H43" s="492">
        <f>SUM((IF(ISBLANK(D43),B43,D43)*(H30/3))+(G43))</f>
        <v>10299.898539748176</v>
      </c>
      <c r="I43" s="491">
        <f>SUM(IF(ISBLANK(D43),      (IF((1*(IF(ISBLANK(E43),C43,E43)) + B43) &lt; 0,     0,     (1*(IF(ISBLANK(E43),C43,E43)) + B43)   )),       (IF((1*(IF(ISBLANK(E43),C43,E43)) + D43) &lt; 0,     0,     (1*(IF(ISBLANK(E43),C43,E43)) + D43)   ))  )       *   (I30/3)+(H43))</f>
        <v>11728.274511677919</v>
      </c>
      <c r="J43" s="217">
        <f t="shared" si="110"/>
        <v>126084.5191542783</v>
      </c>
      <c r="K43" s="492">
        <f>SUM(IF(ISBLANK(D43),      (IF((2*(IF(ISBLANK(E43),C43,E43)) + B43) &lt; 0,     0,     (2*(IF(ISBLANK(E43),C43,E43)) + B43)   )),       (IF((2*(IF(ISBLANK(E43),C43,E43)) + D43) &lt; 0,     0,     (2*(IF(ISBLANK(E43),C43,E43)) + D43)   ))  )       *   (K30/3)+(I43))</f>
        <v>14288.937088389965</v>
      </c>
      <c r="L43" s="492">
        <f>SUM(IF(ISBLANK(D43),      (IF((3*(IF(ISBLANK(E43),C43,E43)) + B43) &lt; 0,     0,     (3*(IF(ISBLANK(E43),C43,E43)) + B43)   )),       (IF((3*(IF(ISBLANK(E43),C43,E43)) + D43) &lt; 0,     0,     (3*(IF(ISBLANK(E43),C43,E43)) + D43)   ))  )       *   (L30/3)+(K43))</f>
        <v>18702.602448962745</v>
      </c>
      <c r="M43" s="492">
        <f>SUM(IF(ISBLANK(D43),      (IF((4*(IF(ISBLANK(E43),C43,E43)) + B43) &lt; 0,     0,     (4*(IF(ISBLANK(E43),C43,E43)) + B43)   )),       (IF((4*(IF(ISBLANK(E43),C43,E43)) + D43) &lt; 0,     0,     (4*(IF(ISBLANK(E43),C43,E43)) + D43)   ))  )       *   (M30/3)+(L43))</f>
        <v>25238.461734725679</v>
      </c>
      <c r="N43" s="492">
        <f>SUM(IF(ISBLANK(D43),      (IF((5*(IF(ISBLANK(E43),C43,E43)) + B43) &lt; 0,     0,     (5*(IF(ISBLANK(E43),C43,E43)) + B43)   )),       (IF((5*(IF(ISBLANK(E43),C43,E43)) + D43) &lt; 0,     0,     (5*(IF(ISBLANK(E43),C43,E43)) + D43)   ))  )       *   (N30/3)+(M43))</f>
        <v>34307.478634534287</v>
      </c>
      <c r="O43" s="217">
        <f t="shared" si="111"/>
        <v>277612.43971983803</v>
      </c>
      <c r="P43" s="492">
        <f>SUM(IF(ISBLANK(D43),      (IF((6*(IF(ISBLANK(E43),C43,E43)) + B43) &lt; 0,     0,     (6*(IF(ISBLANK(E43),C43,E43)) + B43)   )),       (IF((6*(IF(ISBLANK(E43),C43,E43)) + D43) &lt; 0,     0,     (6*(IF(ISBLANK(E43),C43,E43)) + D43)   ))  )       *   (P30/3)+(N43))</f>
        <v>45923.611669798433</v>
      </c>
      <c r="Q43" s="492">
        <f>SUM(IF(ISBLANK(D43),      (IF((7*(IF(ISBLANK(E43),C43,E43)) + B43) &lt; 0,     0,     (7*(IF(ISBLANK(E43),C43,E43)) + B43)   )),       (IF((7*(IF(ISBLANK(E43),C43,E43)) + D43) &lt; 0,     0,     (7*(IF(ISBLANK(E43),C43,E43)) + D43)   ))  )       *   (Q30/3)+(P43))</f>
        <v>58275.116209418156</v>
      </c>
      <c r="R43" s="492">
        <f>SUM(IF(ISBLANK(D43),      (IF((8*(IF(ISBLANK(E43),C43,E43)) + B43) &lt; 0,     0,     (8*(IF(ISBLANK(E43),C43,E43)) + B43)   )),       (IF((8*(IF(ISBLANK(E43),C43,E43)) + D43) &lt; 0,     0,     (8*(IF(ISBLANK(E43),C43,E43)) + D43)   ))  )       *   (R30/3)+(Q43))</f>
        <v>64153.05516193778</v>
      </c>
      <c r="S43" s="492">
        <f>SUM(IF(ISBLANK(D43),      (IF((9*(IF(ISBLANK(E43),C43,E43)) + B43) &lt; 0,     0,     (9*(IF(ISBLANK(E43),C43,E43)) + B43)   )),       (IF((9*(IF(ISBLANK(E43),C43,E43)) + D43) &lt; 0,     0,     (9*(IF(ISBLANK(E43),C43,E43)) + D43)   ))  )       *   (S30/3)+(R43))</f>
        <v>64153.05516193778</v>
      </c>
      <c r="T43" s="218">
        <f t="shared" si="112"/>
        <v>697514.51460927643</v>
      </c>
      <c r="U43" s="221"/>
      <c r="V43" s="239">
        <f>SUM(IF(ISBLANK(D43),      (IF((10*(IF(ISBLANK(E43),C43,E43)) + B43) &lt; 0,     0,     (10*(IF(ISBLANK(E43),C43,E43)) + B43)   )),       (IF((10*(IF(ISBLANK(E43),C43,E43)) + D43) &lt; 0,     0,     (10*(IF(ISBLANK(E43),C43,E43)) + D43)   ))  )       *   (V30)+(S43))*12</f>
        <v>769836.66194325336</v>
      </c>
      <c r="W43" s="217">
        <f>SUM(IF(ISBLANK(D43),      (IF((11*(IF(ISBLANK(E43),C43,E43)) + B43) &lt; 0,     0,     (11*(IF(ISBLANK(E43),C43,E43)) + B43)   )),       (IF((11*(IF(ISBLANK(E43),C43,E43)) + D43) &lt; 0,     0,     (11*(IF(ISBLANK(E43),C43,E43)) + D43)   ))  )       *   (W30)+(V43))</f>
        <v>769836.66194325336</v>
      </c>
      <c r="X43" s="242">
        <f>SUM(IF(ISBLANK(D43),      (IF((12*(IF(ISBLANK(E43),C43,E43)) + B43) &lt; 0,     0,     (12*(IF(ISBLANK(E43),C43,E43)) + B43)   )),       (IF((12*(IF(ISBLANK(E43),C43,E43)) + D43) &lt; 0,     0,     (12*(IF(ISBLANK(E43),C43,E43)) + D43)   ))  )       *   (X30)+(W43))</f>
        <v>769836.66194325336</v>
      </c>
      <c r="Y43" s="221"/>
      <c r="Z43" s="578">
        <f>SUM(1150+61191+16520+16425+10520+4487)</f>
        <v>110293</v>
      </c>
      <c r="AA43" s="617"/>
      <c r="AB43" s="532">
        <f t="shared" si="113"/>
        <v>10000</v>
      </c>
      <c r="AC43" s="492">
        <f t="shared" si="114"/>
        <v>10000</v>
      </c>
      <c r="AD43" s="492">
        <f t="shared" si="115"/>
        <v>10000</v>
      </c>
      <c r="AE43" s="492">
        <f t="shared" si="98"/>
        <v>30000</v>
      </c>
      <c r="AF43" s="222"/>
      <c r="AG43" s="532">
        <f t="shared" si="116"/>
        <v>10000</v>
      </c>
      <c r="AH43" s="492">
        <f t="shared" si="117"/>
        <v>10000</v>
      </c>
      <c r="AI43" s="492">
        <f t="shared" si="118"/>
        <v>10000</v>
      </c>
      <c r="AJ43" s="492">
        <f t="shared" si="99"/>
        <v>30000</v>
      </c>
      <c r="AK43" s="222"/>
      <c r="AL43" s="532">
        <f t="shared" si="119"/>
        <v>10299.898539748176</v>
      </c>
      <c r="AM43" s="492">
        <f t="shared" si="120"/>
        <v>10299.898539748176</v>
      </c>
      <c r="AN43" s="492">
        <f t="shared" si="121"/>
        <v>10299.898539748176</v>
      </c>
      <c r="AO43" s="492">
        <f t="shared" si="100"/>
        <v>30899.695619244529</v>
      </c>
      <c r="AP43" s="222"/>
      <c r="AQ43" s="532">
        <f t="shared" si="122"/>
        <v>11728.274511677919</v>
      </c>
      <c r="AR43" s="492">
        <f t="shared" si="123"/>
        <v>11728.274511677919</v>
      </c>
      <c r="AS43" s="492">
        <f t="shared" si="124"/>
        <v>11728.274511677919</v>
      </c>
      <c r="AT43" s="492">
        <f t="shared" si="101"/>
        <v>35184.823535033756</v>
      </c>
      <c r="AU43" s="222"/>
      <c r="AV43" s="617"/>
      <c r="AW43" s="532">
        <f t="shared" si="125"/>
        <v>14288.937088389965</v>
      </c>
      <c r="AX43" s="492">
        <f t="shared" si="126"/>
        <v>14288.937088389965</v>
      </c>
      <c r="AY43" s="492">
        <f t="shared" si="127"/>
        <v>14288.937088389965</v>
      </c>
      <c r="AZ43" s="492">
        <f t="shared" si="102"/>
        <v>42866.81126516989</v>
      </c>
      <c r="BA43" s="222"/>
      <c r="BB43" s="532">
        <f t="shared" si="128"/>
        <v>18702.602448962745</v>
      </c>
      <c r="BC43" s="492">
        <f t="shared" si="129"/>
        <v>18702.602448962745</v>
      </c>
      <c r="BD43" s="492">
        <f t="shared" si="130"/>
        <v>18702.602448962745</v>
      </c>
      <c r="BE43" s="492">
        <f t="shared" si="103"/>
        <v>56107.807346888236</v>
      </c>
      <c r="BF43" s="222"/>
      <c r="BG43" s="532">
        <f t="shared" si="131"/>
        <v>25238.461734725679</v>
      </c>
      <c r="BH43" s="492">
        <f t="shared" si="132"/>
        <v>25238.461734725679</v>
      </c>
      <c r="BI43" s="492">
        <f t="shared" si="133"/>
        <v>25238.461734725679</v>
      </c>
      <c r="BJ43" s="492">
        <f t="shared" si="104"/>
        <v>75715.38520417703</v>
      </c>
      <c r="BK43" s="222"/>
      <c r="BL43" s="532">
        <f t="shared" si="134"/>
        <v>34307.478634534287</v>
      </c>
      <c r="BM43" s="492">
        <f t="shared" si="135"/>
        <v>34307.478634534287</v>
      </c>
      <c r="BN43" s="492">
        <f t="shared" si="136"/>
        <v>34307.478634534287</v>
      </c>
      <c r="BO43" s="492">
        <f t="shared" si="105"/>
        <v>102922.43590360286</v>
      </c>
      <c r="BP43" s="222"/>
      <c r="BQ43" s="221"/>
      <c r="BR43" s="532">
        <f t="shared" si="137"/>
        <v>45923.611669798433</v>
      </c>
      <c r="BS43" s="492">
        <f t="shared" si="138"/>
        <v>45923.611669798433</v>
      </c>
      <c r="BT43" s="492">
        <f t="shared" si="139"/>
        <v>45923.611669798433</v>
      </c>
      <c r="BU43" s="492">
        <f t="shared" si="106"/>
        <v>137770.83500939529</v>
      </c>
      <c r="BV43" s="222"/>
      <c r="BW43" s="532">
        <f t="shared" si="140"/>
        <v>58275.116209418156</v>
      </c>
      <c r="BX43" s="492">
        <f t="shared" si="141"/>
        <v>58275.116209418156</v>
      </c>
      <c r="BY43" s="492">
        <f t="shared" si="142"/>
        <v>58275.116209418156</v>
      </c>
      <c r="BZ43" s="492">
        <f t="shared" si="107"/>
        <v>174825.34862825446</v>
      </c>
      <c r="CA43" s="222"/>
      <c r="CB43" s="532">
        <f t="shared" si="143"/>
        <v>64153.05516193778</v>
      </c>
      <c r="CC43" s="492">
        <f t="shared" si="144"/>
        <v>64153.05516193778</v>
      </c>
      <c r="CD43" s="492">
        <f t="shared" si="145"/>
        <v>64153.05516193778</v>
      </c>
      <c r="CE43" s="492">
        <f t="shared" si="108"/>
        <v>192459.16548581334</v>
      </c>
      <c r="CF43" s="222"/>
      <c r="CG43" s="532">
        <f t="shared" si="146"/>
        <v>64153.05516193778</v>
      </c>
      <c r="CH43" s="492">
        <f t="shared" si="147"/>
        <v>64153.05516193778</v>
      </c>
      <c r="CI43" s="492">
        <f t="shared" si="148"/>
        <v>64153.05516193778</v>
      </c>
      <c r="CJ43" s="492">
        <f t="shared" si="109"/>
        <v>192459.16548581334</v>
      </c>
      <c r="CK43" s="222"/>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row>
    <row r="44" spans="1:179" s="57" customFormat="1" ht="9.75" customHeight="1" x14ac:dyDescent="0.15">
      <c r="A44" s="468" t="s">
        <v>198</v>
      </c>
      <c r="B44" s="213">
        <v>3</v>
      </c>
      <c r="C44" s="214">
        <v>-0.05</v>
      </c>
      <c r="D44" s="632"/>
      <c r="E44" s="633"/>
      <c r="F44" s="215">
        <v>6</v>
      </c>
      <c r="G44" s="216">
        <v>5</v>
      </c>
      <c r="H44" s="493">
        <f>SUM((IF(ISBLANK(D44),B44,D44)))</f>
        <v>3</v>
      </c>
      <c r="I44" s="493">
        <f>SUM(H44+(IF(ISBLANK(E44),C44,E44)))</f>
        <v>2.95</v>
      </c>
      <c r="J44" s="219">
        <f>SUM((F44+G44+H44+I44)/4)</f>
        <v>4.2374999999999998</v>
      </c>
      <c r="K44" s="493">
        <f>SUM(I44+(IF(ISBLANK(E44),C44,E44)))</f>
        <v>2.9000000000000004</v>
      </c>
      <c r="L44" s="493">
        <f>SUM(K44+(IF(ISBLANK(E44),C44,E44)))</f>
        <v>2.8500000000000005</v>
      </c>
      <c r="M44" s="493">
        <f>SUM(L44+(IF(ISBLANK(E44),C44,E44)))</f>
        <v>2.8000000000000007</v>
      </c>
      <c r="N44" s="493">
        <f>SUM(M44+(IF(ISBLANK(E44),C44,E44)))</f>
        <v>2.7500000000000009</v>
      </c>
      <c r="O44" s="219">
        <f>SUM(K44+L44+M44+N44)/4</f>
        <v>2.8250000000000002</v>
      </c>
      <c r="P44" s="493">
        <f>SUM(N44+(IF(ISBLANK(E44),C44,E44)))</f>
        <v>2.7000000000000011</v>
      </c>
      <c r="Q44" s="493">
        <f>SUM(P44+(IF(ISBLANK(E44),C44,E44)))</f>
        <v>2.6500000000000012</v>
      </c>
      <c r="R44" s="493">
        <f>SUM(Q44+(IF(ISBLANK(E44),C44,E44)))</f>
        <v>2.6000000000000014</v>
      </c>
      <c r="S44" s="493">
        <f>SUM(R44+(IF(ISBLANK(E44),C44,E44)))</f>
        <v>2.5500000000000016</v>
      </c>
      <c r="T44" s="214">
        <f>SUM(P44+Q44+R44+S44)/4</f>
        <v>2.6250000000000013</v>
      </c>
      <c r="U44" s="247"/>
      <c r="V44" s="213">
        <f>SUM(S44+(IF(ISBLANK(E44),C44,E44)))</f>
        <v>2.5000000000000018</v>
      </c>
      <c r="W44" s="219">
        <f>SUM(V44+(IF(ISBLANK(E44),C44,E44)))</f>
        <v>2.450000000000002</v>
      </c>
      <c r="X44" s="220">
        <f>SUM(W44+(IF(ISBLANK(E44),C44,E44)))</f>
        <v>2.4000000000000021</v>
      </c>
      <c r="Y44" s="247"/>
      <c r="Z44" s="581">
        <v>1.2</v>
      </c>
      <c r="AA44" s="619"/>
      <c r="AB44" s="495">
        <f>F44</f>
        <v>6</v>
      </c>
      <c r="AC44" s="493">
        <f>F44</f>
        <v>6</v>
      </c>
      <c r="AD44" s="493">
        <f>F44</f>
        <v>6</v>
      </c>
      <c r="AE44" s="493">
        <f>SUM((AB44+AC44+AD44)/3)</f>
        <v>6</v>
      </c>
      <c r="AF44" s="248"/>
      <c r="AG44" s="495">
        <f>G44</f>
        <v>5</v>
      </c>
      <c r="AH44" s="493">
        <f>G44</f>
        <v>5</v>
      </c>
      <c r="AI44" s="493">
        <f>G44</f>
        <v>5</v>
      </c>
      <c r="AJ44" s="493">
        <f>SUM((AG44+AH44+AI44)/3)</f>
        <v>5</v>
      </c>
      <c r="AK44" s="248"/>
      <c r="AL44" s="495">
        <f>H44</f>
        <v>3</v>
      </c>
      <c r="AM44" s="493">
        <f>H44</f>
        <v>3</v>
      </c>
      <c r="AN44" s="493">
        <f>H44</f>
        <v>3</v>
      </c>
      <c r="AO44" s="493">
        <f>SUM((AL44+AM44+AN44)/3)</f>
        <v>3</v>
      </c>
      <c r="AP44" s="248"/>
      <c r="AQ44" s="495">
        <f>I44</f>
        <v>2.95</v>
      </c>
      <c r="AR44" s="493">
        <f>I44</f>
        <v>2.95</v>
      </c>
      <c r="AS44" s="493">
        <f>I44</f>
        <v>2.95</v>
      </c>
      <c r="AT44" s="493">
        <f>SUM((AQ44+AR44+AS44)/3)</f>
        <v>2.9500000000000006</v>
      </c>
      <c r="AU44" s="248"/>
      <c r="AV44" s="619"/>
      <c r="AW44" s="495">
        <f>K44</f>
        <v>2.9000000000000004</v>
      </c>
      <c r="AX44" s="493">
        <f>K44</f>
        <v>2.9000000000000004</v>
      </c>
      <c r="AY44" s="493">
        <f>K44</f>
        <v>2.9000000000000004</v>
      </c>
      <c r="AZ44" s="493">
        <f>SUM((AW44+AX44+AY44)/3)</f>
        <v>2.9000000000000004</v>
      </c>
      <c r="BA44" s="248"/>
      <c r="BB44" s="495">
        <f>L44</f>
        <v>2.8500000000000005</v>
      </c>
      <c r="BC44" s="493">
        <f>L44</f>
        <v>2.8500000000000005</v>
      </c>
      <c r="BD44" s="493">
        <f>L44</f>
        <v>2.8500000000000005</v>
      </c>
      <c r="BE44" s="493">
        <f>SUM((BB44+BC44+BD44)/3)</f>
        <v>2.85</v>
      </c>
      <c r="BF44" s="248"/>
      <c r="BG44" s="495">
        <f>M44</f>
        <v>2.8000000000000007</v>
      </c>
      <c r="BH44" s="493">
        <f>M44</f>
        <v>2.8000000000000007</v>
      </c>
      <c r="BI44" s="493">
        <f>M44</f>
        <v>2.8000000000000007</v>
      </c>
      <c r="BJ44" s="493">
        <f>SUM((BG44+BH44+BI44)/3)</f>
        <v>2.8000000000000007</v>
      </c>
      <c r="BK44" s="248"/>
      <c r="BL44" s="495">
        <f>N44</f>
        <v>2.7500000000000009</v>
      </c>
      <c r="BM44" s="493">
        <f>N44</f>
        <v>2.7500000000000009</v>
      </c>
      <c r="BN44" s="493">
        <f>N44</f>
        <v>2.7500000000000009</v>
      </c>
      <c r="BO44" s="493">
        <f>SUM((BL44+BM44+BN44)/3)</f>
        <v>2.7500000000000013</v>
      </c>
      <c r="BP44" s="248"/>
      <c r="BQ44" s="247"/>
      <c r="BR44" s="495">
        <f>P44</f>
        <v>2.7000000000000011</v>
      </c>
      <c r="BS44" s="493">
        <f>P44</f>
        <v>2.7000000000000011</v>
      </c>
      <c r="BT44" s="493">
        <f>P44</f>
        <v>2.7000000000000011</v>
      </c>
      <c r="BU44" s="493">
        <f>SUM((BR44+BS44+BT44)/3)</f>
        <v>2.7000000000000011</v>
      </c>
      <c r="BV44" s="248"/>
      <c r="BW44" s="495">
        <f>Q44</f>
        <v>2.6500000000000012</v>
      </c>
      <c r="BX44" s="493">
        <f>Q44</f>
        <v>2.6500000000000012</v>
      </c>
      <c r="BY44" s="493">
        <f>Q44</f>
        <v>2.6500000000000012</v>
      </c>
      <c r="BZ44" s="493">
        <f>SUM((BW44+BX44+BY44)/3)</f>
        <v>2.6500000000000012</v>
      </c>
      <c r="CA44" s="248"/>
      <c r="CB44" s="495">
        <f>R44</f>
        <v>2.6000000000000014</v>
      </c>
      <c r="CC44" s="493">
        <f>R44</f>
        <v>2.6000000000000014</v>
      </c>
      <c r="CD44" s="493">
        <f>R44</f>
        <v>2.6000000000000014</v>
      </c>
      <c r="CE44" s="493">
        <f>SUM((CB44+CC44+CD44)/3)</f>
        <v>2.6000000000000014</v>
      </c>
      <c r="CF44" s="248"/>
      <c r="CG44" s="495">
        <f>S44</f>
        <v>2.5500000000000016</v>
      </c>
      <c r="CH44" s="493">
        <f>S44</f>
        <v>2.5500000000000016</v>
      </c>
      <c r="CI44" s="493">
        <f>S44</f>
        <v>2.5500000000000016</v>
      </c>
      <c r="CJ44" s="493">
        <f>SUM((CG44+CH44+CI44)/3)</f>
        <v>2.5500000000000016</v>
      </c>
      <c r="CK44" s="248"/>
    </row>
    <row r="45" spans="1:179" s="57" customFormat="1" ht="9.75" customHeight="1" x14ac:dyDescent="0.15">
      <c r="A45" s="488" t="s">
        <v>199</v>
      </c>
      <c r="B45" s="145">
        <v>0.3</v>
      </c>
      <c r="C45" s="218">
        <v>10000000</v>
      </c>
      <c r="D45" s="291"/>
      <c r="E45" s="229"/>
      <c r="F45" s="226">
        <v>0</v>
      </c>
      <c r="G45" s="227">
        <v>0</v>
      </c>
      <c r="H45" s="492">
        <f>SUM(G45+(IF(IF(ISBLANK(D45),B45,D45)*(G30/3)&gt;(IF(ISBLANK(E45),C45,E45)),IF(ISBLANK(E45),C45,E45),IF(ISBLANK(D45),B45,D45)*(G30/3))))</f>
        <v>0</v>
      </c>
      <c r="I45" s="491">
        <f>SUM(G45+(IF(IF(ISBLANK(D45),B45,D45)*(H30/3)&gt;(IF(ISBLANK(E45),C45,E45)),IF(ISBLANK(E45),C45,E45),IF(ISBLANK(D45),B45,D45)*(H30/3))))</f>
        <v>1799.3912384890557</v>
      </c>
      <c r="J45" s="217">
        <f t="shared" si="110"/>
        <v>5398.1737154671673</v>
      </c>
      <c r="K45" s="492">
        <f>SUM(G45+(IF(IF(ISBLANK(D45),B45,D45)*(I30/3)&gt;(IF(ISBLANK(E45),C45,E45)),IF(ISBLANK(E45),C45,E45),IF(ISBLANK(D45),B45,D45)*(I30/3))))</f>
        <v>9738.9270813391558</v>
      </c>
      <c r="L45" s="492">
        <f>SUM(G45+(IF(IF(ISBLANK(D45),B45,D45)*(K30/3)&gt;(IF(ISBLANK(E45),C45,E45)),IF(ISBLANK(E45),C45,E45),IF(ISBLANK(D45),B45,D45)*(K30/3))))</f>
        <v>20215.757184568782</v>
      </c>
      <c r="M45" s="492">
        <f>SUM(G45+(IF(IF(ISBLANK(D45),B45,D45)*(L30/3)&gt;(IF(ISBLANK(E45),C45,E45)),IF(ISBLANK(E45),C45,E45),IF(ISBLANK(D45),B45,D45)*(L30/3))))</f>
        <v>41378.112755369832</v>
      </c>
      <c r="N45" s="492">
        <f>SUM(G45+(IF(IF(ISBLANK(D45),B45,D45)*(M30/3)&gt;(IF(ISBLANK(E45),C45,E45)),IF(ISBLANK(E45),C45,E45),IF(ISBLANK(D45),B45,D45)*(M30/3))))</f>
        <v>75413.7609895723</v>
      </c>
      <c r="O45" s="217">
        <f t="shared" si="111"/>
        <v>440239.67403255019</v>
      </c>
      <c r="P45" s="492">
        <f>SUM(G45+(IF(IF(ISBLANK(D45),B45,D45)*(N30/3)&gt;(IF(ISBLANK(E45),C45,E45)),IF(ISBLANK(E45),C45,E45),IF(ISBLANK(D45),B45,D45)*(N30/3))))</f>
        <v>136035.25349712913</v>
      </c>
      <c r="Q45" s="492">
        <f>SUM(G45+(IF(IF(ISBLANK(D45),B45,D45)*(P30/3)&gt;(IF(ISBLANK(E45),C45,E45)),IF(ISBLANK(E45),C45,E45),IF(ISBLANK(D45),B45,D45)*(P30/3))))</f>
        <v>248917.13646994595</v>
      </c>
      <c r="R45" s="492">
        <f>SUM(G45+(IF(IF(ISBLANK(D45),B45,D45)*(Q30/3)&gt;(IF(ISBLANK(E45),C45,E45)),IF(ISBLANK(E45),C45,E45),IF(ISBLANK(D45),B45,D45)*(Q30/3))))</f>
        <v>463181.42023573956</v>
      </c>
      <c r="S45" s="492">
        <f>SUM(G45+(IF(IF(ISBLANK(D45),B45,D45)*(R30/3)&gt;(IF(ISBLANK(E45),C45,E45)),IF(ISBLANK(E45),C45,E45),IF(ISBLANK(D45),B45,D45)*(R30/3))))</f>
        <v>881690.84287794307</v>
      </c>
      <c r="T45" s="218">
        <f t="shared" si="112"/>
        <v>5189473.9592422731</v>
      </c>
      <c r="U45" s="221"/>
      <c r="V45" s="239">
        <f>SUM(G45+(IF(IF(ISBLANK(D45),B45,D45)*(S30)&gt;(IF(ISBLANK(E45),C45,E45)),IF(ISBLANK(E45),C45,E45),IF(ISBLANK(D45),B45,D45)*(S30))))</f>
        <v>5169908.1042893985</v>
      </c>
      <c r="W45" s="217">
        <f>SUM(G45+(IF(IF(ISBLANK(D45),B45,D45)*(V30)&gt;(IF(ISBLANK(E45),C45,E45)),IF(ISBLANK(E45),C45,E45),IF(ISBLANK(D45),B45,D45)*(V30))))</f>
        <v>10000000</v>
      </c>
      <c r="X45" s="242">
        <f>SUM(G45+(IF(IF(ISBLANK(D45),B45,D45)*(W30)&gt;(IF(ISBLANK(E45),C45,E45)),IF(ISBLANK(E45),C45,E45),IF(ISBLANK(D45),B45,D45)*(W30))))</f>
        <v>10000000</v>
      </c>
      <c r="Y45" s="221"/>
      <c r="Z45" s="578">
        <v>0</v>
      </c>
      <c r="AA45" s="617"/>
      <c r="AB45" s="532">
        <f t="shared" si="113"/>
        <v>0</v>
      </c>
      <c r="AC45" s="492">
        <f t="shared" si="114"/>
        <v>0</v>
      </c>
      <c r="AD45" s="492">
        <f t="shared" si="115"/>
        <v>0</v>
      </c>
      <c r="AE45" s="492">
        <f>SUM(AB45:AD45)</f>
        <v>0</v>
      </c>
      <c r="AF45" s="222"/>
      <c r="AG45" s="532">
        <f t="shared" si="116"/>
        <v>0</v>
      </c>
      <c r="AH45" s="492">
        <f t="shared" si="117"/>
        <v>0</v>
      </c>
      <c r="AI45" s="492">
        <f t="shared" si="118"/>
        <v>0</v>
      </c>
      <c r="AJ45" s="492">
        <f t="shared" si="99"/>
        <v>0</v>
      </c>
      <c r="AK45" s="222"/>
      <c r="AL45" s="532">
        <f t="shared" si="119"/>
        <v>0</v>
      </c>
      <c r="AM45" s="492">
        <f t="shared" si="120"/>
        <v>0</v>
      </c>
      <c r="AN45" s="492">
        <f t="shared" si="121"/>
        <v>0</v>
      </c>
      <c r="AO45" s="492">
        <f>SUM(AL45:AN45)</f>
        <v>0</v>
      </c>
      <c r="AP45" s="222"/>
      <c r="AQ45" s="532">
        <f t="shared" si="122"/>
        <v>1799.3912384890557</v>
      </c>
      <c r="AR45" s="492">
        <f t="shared" si="123"/>
        <v>1799.3912384890557</v>
      </c>
      <c r="AS45" s="492">
        <f t="shared" si="124"/>
        <v>1799.3912384890557</v>
      </c>
      <c r="AT45" s="492">
        <f>SUM(AQ45:AS45)</f>
        <v>5398.1737154671673</v>
      </c>
      <c r="AU45" s="222"/>
      <c r="AV45" s="617"/>
      <c r="AW45" s="532">
        <f t="shared" si="125"/>
        <v>9738.9270813391558</v>
      </c>
      <c r="AX45" s="492">
        <f t="shared" si="126"/>
        <v>9738.9270813391558</v>
      </c>
      <c r="AY45" s="492">
        <f t="shared" si="127"/>
        <v>9738.9270813391558</v>
      </c>
      <c r="AZ45" s="492">
        <f>SUM(AW45:AY45)</f>
        <v>29216.781244017468</v>
      </c>
      <c r="BA45" s="222"/>
      <c r="BB45" s="532">
        <f t="shared" si="128"/>
        <v>20215.757184568782</v>
      </c>
      <c r="BC45" s="492">
        <f t="shared" si="129"/>
        <v>20215.757184568782</v>
      </c>
      <c r="BD45" s="492">
        <f t="shared" si="130"/>
        <v>20215.757184568782</v>
      </c>
      <c r="BE45" s="492">
        <f>SUM(BB45:BD45)</f>
        <v>60647.271553706349</v>
      </c>
      <c r="BF45" s="222"/>
      <c r="BG45" s="532">
        <f t="shared" si="131"/>
        <v>41378.112755369832</v>
      </c>
      <c r="BH45" s="492">
        <f t="shared" si="132"/>
        <v>41378.112755369832</v>
      </c>
      <c r="BI45" s="492">
        <f t="shared" si="133"/>
        <v>41378.112755369832</v>
      </c>
      <c r="BJ45" s="492">
        <f>SUM(BG45:BI45)</f>
        <v>124134.33826610949</v>
      </c>
      <c r="BK45" s="222"/>
      <c r="BL45" s="532">
        <f t="shared" si="134"/>
        <v>75413.7609895723</v>
      </c>
      <c r="BM45" s="492">
        <f t="shared" si="135"/>
        <v>75413.7609895723</v>
      </c>
      <c r="BN45" s="492">
        <f t="shared" si="136"/>
        <v>75413.7609895723</v>
      </c>
      <c r="BO45" s="492">
        <f>SUM(BL45:BN45)</f>
        <v>226241.2829687169</v>
      </c>
      <c r="BP45" s="222"/>
      <c r="BQ45" s="221"/>
      <c r="BR45" s="532">
        <f t="shared" si="137"/>
        <v>136035.25349712913</v>
      </c>
      <c r="BS45" s="492">
        <f>P45</f>
        <v>136035.25349712913</v>
      </c>
      <c r="BT45" s="492">
        <f t="shared" si="139"/>
        <v>136035.25349712913</v>
      </c>
      <c r="BU45" s="492">
        <f>SUM(BR45:BT45)</f>
        <v>408105.76049138739</v>
      </c>
      <c r="BV45" s="222"/>
      <c r="BW45" s="532">
        <f t="shared" si="140"/>
        <v>248917.13646994595</v>
      </c>
      <c r="BX45" s="492">
        <f t="shared" si="141"/>
        <v>248917.13646994595</v>
      </c>
      <c r="BY45" s="492">
        <f t="shared" si="142"/>
        <v>248917.13646994595</v>
      </c>
      <c r="BZ45" s="492">
        <f>SUM(BW45:BY45)</f>
        <v>746751.4094098378</v>
      </c>
      <c r="CA45" s="222"/>
      <c r="CB45" s="532">
        <f t="shared" si="143"/>
        <v>463181.42023573956</v>
      </c>
      <c r="CC45" s="492">
        <f t="shared" si="144"/>
        <v>463181.42023573956</v>
      </c>
      <c r="CD45" s="492">
        <f t="shared" si="145"/>
        <v>463181.42023573956</v>
      </c>
      <c r="CE45" s="492">
        <f>SUM(CB45:CD45)</f>
        <v>1389544.2607072187</v>
      </c>
      <c r="CF45" s="222"/>
      <c r="CG45" s="532">
        <f t="shared" si="146"/>
        <v>881690.84287794307</v>
      </c>
      <c r="CH45" s="492">
        <f t="shared" si="147"/>
        <v>881690.84287794307</v>
      </c>
      <c r="CI45" s="492">
        <f t="shared" si="148"/>
        <v>881690.84287794307</v>
      </c>
      <c r="CJ45" s="492">
        <f>SUM(CG45:CI45)</f>
        <v>2645072.5286338292</v>
      </c>
      <c r="CK45" s="222"/>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row>
    <row r="46" spans="1:179" s="57" customFormat="1" ht="9.75" customHeight="1" x14ac:dyDescent="0.15">
      <c r="A46" s="488" t="s">
        <v>200</v>
      </c>
      <c r="B46" s="239">
        <v>100000</v>
      </c>
      <c r="C46" s="218"/>
      <c r="D46" s="228"/>
      <c r="E46" s="229"/>
      <c r="F46" s="226">
        <v>1000</v>
      </c>
      <c r="G46" s="227">
        <f>SUM((IF(ISBLANK(D46),B46,D46)/3)*0.35)</f>
        <v>11666.666666666666</v>
      </c>
      <c r="H46" s="492">
        <f>SUM((IF(ISBLANK(D46),B46,D46)/3)*0.3)</f>
        <v>10000</v>
      </c>
      <c r="I46" s="491">
        <f>SUM((IF(ISBLANK(D46),B46,D46)/3)*0.2)</f>
        <v>6666.6666666666679</v>
      </c>
      <c r="J46" s="217">
        <f>SUM(F46:I46)*3</f>
        <v>88000</v>
      </c>
      <c r="K46" s="492">
        <f>SUM((IF(ISBLANK(D46),B46,D46)/3)*0.15)</f>
        <v>5000</v>
      </c>
      <c r="L46" s="492">
        <v>0</v>
      </c>
      <c r="M46" s="492">
        <v>0</v>
      </c>
      <c r="N46" s="492">
        <v>0</v>
      </c>
      <c r="O46" s="217">
        <f>SUM(K46:N46)*3</f>
        <v>15000</v>
      </c>
      <c r="P46" s="492">
        <v>0</v>
      </c>
      <c r="Q46" s="492">
        <v>0</v>
      </c>
      <c r="R46" s="492">
        <v>0</v>
      </c>
      <c r="S46" s="492">
        <v>0</v>
      </c>
      <c r="T46" s="218">
        <f>SUM(P46:S46)*3</f>
        <v>0</v>
      </c>
      <c r="U46" s="221"/>
      <c r="V46" s="239">
        <v>0</v>
      </c>
      <c r="W46" s="217">
        <v>0</v>
      </c>
      <c r="X46" s="242">
        <v>0</v>
      </c>
      <c r="Y46" s="221"/>
      <c r="Z46" s="578">
        <v>2000</v>
      </c>
      <c r="AA46" s="617"/>
      <c r="AB46" s="532">
        <f t="shared" si="113"/>
        <v>1000</v>
      </c>
      <c r="AC46" s="492">
        <f t="shared" si="114"/>
        <v>1000</v>
      </c>
      <c r="AD46" s="492">
        <f t="shared" si="115"/>
        <v>1000</v>
      </c>
      <c r="AE46" s="492">
        <f>SUM(AB46:AD46)</f>
        <v>3000</v>
      </c>
      <c r="AF46" s="222"/>
      <c r="AG46" s="532">
        <f t="shared" si="116"/>
        <v>11666.666666666666</v>
      </c>
      <c r="AH46" s="492">
        <f t="shared" si="117"/>
        <v>11666.666666666666</v>
      </c>
      <c r="AI46" s="492">
        <f t="shared" si="118"/>
        <v>11666.666666666666</v>
      </c>
      <c r="AJ46" s="492">
        <f t="shared" si="99"/>
        <v>35000</v>
      </c>
      <c r="AK46" s="222"/>
      <c r="AL46" s="532">
        <f t="shared" si="119"/>
        <v>10000</v>
      </c>
      <c r="AM46" s="492">
        <f t="shared" si="120"/>
        <v>10000</v>
      </c>
      <c r="AN46" s="492">
        <f t="shared" si="121"/>
        <v>10000</v>
      </c>
      <c r="AO46" s="492">
        <f>SUM(AL46:AN46)</f>
        <v>30000</v>
      </c>
      <c r="AP46" s="222"/>
      <c r="AQ46" s="532">
        <f t="shared" si="122"/>
        <v>6666.6666666666679</v>
      </c>
      <c r="AR46" s="492">
        <f t="shared" si="123"/>
        <v>6666.6666666666679</v>
      </c>
      <c r="AS46" s="492">
        <f t="shared" si="124"/>
        <v>6666.6666666666679</v>
      </c>
      <c r="AT46" s="492">
        <f>SUM(AQ46:AS46)</f>
        <v>20000.000000000004</v>
      </c>
      <c r="AU46" s="222"/>
      <c r="AV46" s="617"/>
      <c r="AW46" s="532">
        <f t="shared" si="125"/>
        <v>5000</v>
      </c>
      <c r="AX46" s="492">
        <f t="shared" si="126"/>
        <v>5000</v>
      </c>
      <c r="AY46" s="492">
        <f t="shared" si="127"/>
        <v>5000</v>
      </c>
      <c r="AZ46" s="492">
        <f>SUM(AW46:AY46)</f>
        <v>15000</v>
      </c>
      <c r="BA46" s="222"/>
      <c r="BB46" s="532">
        <f t="shared" si="128"/>
        <v>0</v>
      </c>
      <c r="BC46" s="492">
        <f t="shared" si="129"/>
        <v>0</v>
      </c>
      <c r="BD46" s="492">
        <f t="shared" si="130"/>
        <v>0</v>
      </c>
      <c r="BE46" s="492">
        <f>SUM(BB46:BD46)</f>
        <v>0</v>
      </c>
      <c r="BF46" s="222"/>
      <c r="BG46" s="532">
        <f t="shared" si="131"/>
        <v>0</v>
      </c>
      <c r="BH46" s="492">
        <f t="shared" si="132"/>
        <v>0</v>
      </c>
      <c r="BI46" s="492">
        <f t="shared" si="133"/>
        <v>0</v>
      </c>
      <c r="BJ46" s="492">
        <f>SUM(BG46:BI46)</f>
        <v>0</v>
      </c>
      <c r="BK46" s="222"/>
      <c r="BL46" s="532">
        <f t="shared" si="134"/>
        <v>0</v>
      </c>
      <c r="BM46" s="492">
        <f t="shared" si="135"/>
        <v>0</v>
      </c>
      <c r="BN46" s="492">
        <f t="shared" si="136"/>
        <v>0</v>
      </c>
      <c r="BO46" s="492">
        <f>SUM(BL46:BN46)</f>
        <v>0</v>
      </c>
      <c r="BP46" s="222"/>
      <c r="BQ46" s="221"/>
      <c r="BR46" s="532">
        <f t="shared" si="137"/>
        <v>0</v>
      </c>
      <c r="BS46" s="492">
        <f>P46</f>
        <v>0</v>
      </c>
      <c r="BT46" s="492">
        <f t="shared" si="139"/>
        <v>0</v>
      </c>
      <c r="BU46" s="492">
        <f>SUM(BR46:BT46)</f>
        <v>0</v>
      </c>
      <c r="BV46" s="222"/>
      <c r="BW46" s="532">
        <f t="shared" si="140"/>
        <v>0</v>
      </c>
      <c r="BX46" s="492">
        <f t="shared" si="141"/>
        <v>0</v>
      </c>
      <c r="BY46" s="492">
        <f t="shared" si="142"/>
        <v>0</v>
      </c>
      <c r="BZ46" s="492">
        <f>SUM(BW46:BY46)</f>
        <v>0</v>
      </c>
      <c r="CA46" s="222"/>
      <c r="CB46" s="532">
        <f t="shared" si="143"/>
        <v>0</v>
      </c>
      <c r="CC46" s="492">
        <f t="shared" si="144"/>
        <v>0</v>
      </c>
      <c r="CD46" s="492">
        <f t="shared" si="145"/>
        <v>0</v>
      </c>
      <c r="CE46" s="492">
        <f>SUM(CB46:CD46)</f>
        <v>0</v>
      </c>
      <c r="CF46" s="222"/>
      <c r="CG46" s="532">
        <f t="shared" si="146"/>
        <v>0</v>
      </c>
      <c r="CH46" s="492">
        <f t="shared" si="147"/>
        <v>0</v>
      </c>
      <c r="CI46" s="492">
        <f t="shared" si="148"/>
        <v>0</v>
      </c>
      <c r="CJ46" s="492">
        <f>SUM(CG46:CI46)</f>
        <v>0</v>
      </c>
      <c r="CK46" s="222"/>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row>
    <row r="47" spans="1:179" s="57" customFormat="1" ht="9.75" customHeight="1" x14ac:dyDescent="0.15">
      <c r="A47" s="421" t="s">
        <v>239</v>
      </c>
      <c r="B47" s="249"/>
      <c r="C47" s="250"/>
      <c r="D47" s="249"/>
      <c r="E47" s="251"/>
      <c r="F47" s="419">
        <f>AE47</f>
        <v>126682.35642221538</v>
      </c>
      <c r="G47" s="420">
        <f>AJ47</f>
        <v>158768.57042458723</v>
      </c>
      <c r="H47" s="420">
        <f>AO47</f>
        <v>162742.47563002061</v>
      </c>
      <c r="I47" s="420">
        <f>AT47</f>
        <v>186172.23379109518</v>
      </c>
      <c r="J47" s="211">
        <f>SUM(F47:I47)</f>
        <v>634365.63626791839</v>
      </c>
      <c r="K47" s="420">
        <f>AZ47</f>
        <v>276868.21632011927</v>
      </c>
      <c r="L47" s="420">
        <f>BE47</f>
        <v>384038.8888008545</v>
      </c>
      <c r="M47" s="420">
        <f>BJ47</f>
        <v>610207.61815712356</v>
      </c>
      <c r="N47" s="420">
        <f>BO47</f>
        <v>990691.52804188093</v>
      </c>
      <c r="O47" s="211">
        <f>SUM(K47:N47)</f>
        <v>2261806.2513199784</v>
      </c>
      <c r="P47" s="420">
        <f>BU47</f>
        <v>1646821.7957234757</v>
      </c>
      <c r="Q47" s="420">
        <f>BZ47</f>
        <v>2816310.1503274343</v>
      </c>
      <c r="R47" s="420">
        <f>CE47</f>
        <v>4937782.1906159883</v>
      </c>
      <c r="S47" s="420">
        <f>CJ47</f>
        <v>8961264.6939049475</v>
      </c>
      <c r="T47" s="230">
        <f>SUM(P47:S47)</f>
        <v>18362178.830571845</v>
      </c>
      <c r="U47" s="232"/>
      <c r="V47" s="231">
        <f>SUM(V33:V45)</f>
        <v>114666585.67748506</v>
      </c>
      <c r="W47" s="211">
        <f>SUM(W33:W45)</f>
        <v>256842095.41067299</v>
      </c>
      <c r="X47" s="212">
        <f>SUM(X33:X45)</f>
        <v>548051182.04480612</v>
      </c>
      <c r="Y47" s="232"/>
      <c r="Z47" s="579">
        <f>SUM(Z33:Z46)</f>
        <v>1083618.2</v>
      </c>
      <c r="AA47" s="618"/>
      <c r="AB47" s="535">
        <f>SUM(AB33:AB46)</f>
        <v>42227.45214073846</v>
      </c>
      <c r="AC47" s="420">
        <f>SUM(AC33:AC46)</f>
        <v>42227.45214073846</v>
      </c>
      <c r="AD47" s="420">
        <f>SUM(AD33:AD46)</f>
        <v>42227.45214073846</v>
      </c>
      <c r="AE47" s="211">
        <f>SUM(AB47:AD47)</f>
        <v>126682.35642221538</v>
      </c>
      <c r="AF47" s="212"/>
      <c r="AG47" s="535">
        <f>SUM(AG33:AG46)</f>
        <v>52922.856808195742</v>
      </c>
      <c r="AH47" s="420">
        <f>SUM(AH33:AH46)</f>
        <v>52922.856808195742</v>
      </c>
      <c r="AI47" s="420">
        <f>SUM(AI33:AI46)</f>
        <v>52922.856808195742</v>
      </c>
      <c r="AJ47" s="211">
        <f>SUM(AG47:AI47)</f>
        <v>158768.57042458723</v>
      </c>
      <c r="AK47" s="212"/>
      <c r="AL47" s="535">
        <f>SUM(AL33:AL46)</f>
        <v>54247.491876673535</v>
      </c>
      <c r="AM47" s="420">
        <f>SUM(AM33:AM46)</f>
        <v>54247.491876673535</v>
      </c>
      <c r="AN47" s="420">
        <f>SUM(AN33:AN46)</f>
        <v>54247.491876673535</v>
      </c>
      <c r="AO47" s="211">
        <f>SUM(AL47:AN47)</f>
        <v>162742.47563002061</v>
      </c>
      <c r="AP47" s="212"/>
      <c r="AQ47" s="535">
        <f>SUM(AQ33:AQ46)</f>
        <v>62057.411263698392</v>
      </c>
      <c r="AR47" s="420">
        <f>SUM(AR33:AR46)</f>
        <v>62057.411263698392</v>
      </c>
      <c r="AS47" s="420">
        <f>SUM(AS33:AS46)</f>
        <v>62057.411263698392</v>
      </c>
      <c r="AT47" s="211">
        <f>SUM(AQ47:AS47)</f>
        <v>186172.23379109518</v>
      </c>
      <c r="AU47" s="212"/>
      <c r="AV47" s="618"/>
      <c r="AW47" s="535">
        <f>SUM(AW33:AW46)</f>
        <v>92289.405440039758</v>
      </c>
      <c r="AX47" s="420">
        <f>SUM(AX33:AX46)</f>
        <v>92289.405440039758</v>
      </c>
      <c r="AY47" s="420">
        <f>SUM(AY33:AY46)</f>
        <v>92289.405440039758</v>
      </c>
      <c r="AZ47" s="211">
        <f>SUM(AW47:AY47)</f>
        <v>276868.21632011927</v>
      </c>
      <c r="BA47" s="212"/>
      <c r="BB47" s="535">
        <f>SUM(BB33:BB46)</f>
        <v>128012.96293361817</v>
      </c>
      <c r="BC47" s="420">
        <f>SUM(BC33:BC46)</f>
        <v>128012.96293361817</v>
      </c>
      <c r="BD47" s="420">
        <f>SUM(BD33:BD46)</f>
        <v>128012.96293361817</v>
      </c>
      <c r="BE47" s="211">
        <f>SUM(BB47:BD47)</f>
        <v>384038.8888008545</v>
      </c>
      <c r="BF47" s="212"/>
      <c r="BG47" s="535">
        <f>SUM(BG33:BG46)</f>
        <v>203402.53938570785</v>
      </c>
      <c r="BH47" s="420">
        <f>SUM(BH33:BH46)</f>
        <v>203402.53938570785</v>
      </c>
      <c r="BI47" s="420">
        <f>SUM(BI33:BI46)</f>
        <v>203402.53938570785</v>
      </c>
      <c r="BJ47" s="211">
        <f>SUM(BG47:BI47)</f>
        <v>610207.61815712356</v>
      </c>
      <c r="BK47" s="212"/>
      <c r="BL47" s="535">
        <f>SUM(BL33:BL46)</f>
        <v>330230.50934729364</v>
      </c>
      <c r="BM47" s="420">
        <f>SUM(BM33:BM46)</f>
        <v>330230.50934729364</v>
      </c>
      <c r="BN47" s="420">
        <f>SUM(BN33:BN46)</f>
        <v>330230.50934729364</v>
      </c>
      <c r="BO47" s="211">
        <f>SUM(BL47:BN47)</f>
        <v>990691.52804188093</v>
      </c>
      <c r="BP47" s="212"/>
      <c r="BQ47" s="232"/>
      <c r="BR47" s="535">
        <f>SUM(BR33:BR46)</f>
        <v>548940.59857449192</v>
      </c>
      <c r="BS47" s="420">
        <f>SUM(BS33:BS46)</f>
        <v>548940.59857449192</v>
      </c>
      <c r="BT47" s="420">
        <f>SUM(BT33:BT46)</f>
        <v>548940.59857449192</v>
      </c>
      <c r="BU47" s="211">
        <f>SUM(BR47:BT47)</f>
        <v>1646821.7957234757</v>
      </c>
      <c r="BV47" s="212"/>
      <c r="BW47" s="535">
        <f>SUM(BW33:BW46)</f>
        <v>938770.05010914477</v>
      </c>
      <c r="BX47" s="420">
        <f>SUM(BX33:BX46)</f>
        <v>938770.05010914477</v>
      </c>
      <c r="BY47" s="420">
        <f>SUM(BY33:BY46)</f>
        <v>938770.05010914477</v>
      </c>
      <c r="BZ47" s="211">
        <f>SUM(BW47:BY47)</f>
        <v>2816310.1503274343</v>
      </c>
      <c r="CA47" s="212"/>
      <c r="CB47" s="535">
        <f>SUM(CB33:CB46)</f>
        <v>1645927.3968719961</v>
      </c>
      <c r="CC47" s="420">
        <f>SUM(CC33:CC46)</f>
        <v>1645927.3968719961</v>
      </c>
      <c r="CD47" s="420">
        <f>SUM(CD33:CD46)</f>
        <v>1645927.3968719961</v>
      </c>
      <c r="CE47" s="211">
        <f>SUM(CB47:CD47)</f>
        <v>4937782.1906159883</v>
      </c>
      <c r="CF47" s="212"/>
      <c r="CG47" s="535">
        <f>SUM(CG33:CG46)</f>
        <v>2987088.231301649</v>
      </c>
      <c r="CH47" s="420">
        <f>SUM(CH33:CH46)</f>
        <v>2987088.231301649</v>
      </c>
      <c r="CI47" s="420">
        <f>SUM(CI33:CI46)</f>
        <v>2987088.231301649</v>
      </c>
      <c r="CJ47" s="211">
        <f>SUM(CG47:CI47)</f>
        <v>8961264.6939049475</v>
      </c>
      <c r="CK47" s="212"/>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row>
    <row r="48" spans="1:179" s="55" customFormat="1" ht="4.5" customHeight="1" thickBot="1" x14ac:dyDescent="0.2">
      <c r="A48" s="252"/>
      <c r="B48" s="192"/>
      <c r="C48" s="197"/>
      <c r="D48" s="192"/>
      <c r="E48" s="193"/>
      <c r="F48" s="253"/>
      <c r="G48" s="254"/>
      <c r="H48" s="254"/>
      <c r="I48" s="254"/>
      <c r="J48" s="254"/>
      <c r="K48" s="254"/>
      <c r="L48" s="254"/>
      <c r="M48" s="254"/>
      <c r="N48" s="254"/>
      <c r="O48" s="254"/>
      <c r="P48" s="254"/>
      <c r="Q48" s="254"/>
      <c r="R48" s="254"/>
      <c r="S48" s="254"/>
      <c r="T48" s="255"/>
      <c r="U48" s="258"/>
      <c r="V48" s="256"/>
      <c r="W48" s="254"/>
      <c r="X48" s="257"/>
      <c r="Y48" s="258"/>
      <c r="Z48" s="582"/>
      <c r="AA48" s="620"/>
      <c r="AB48" s="595"/>
      <c r="AC48" s="259"/>
      <c r="AD48" s="259"/>
      <c r="AE48" s="259"/>
      <c r="AF48" s="600"/>
      <c r="AG48" s="595"/>
      <c r="AH48" s="259"/>
      <c r="AI48" s="259"/>
      <c r="AJ48" s="259"/>
      <c r="AK48" s="600"/>
      <c r="AL48" s="595"/>
      <c r="AM48" s="259"/>
      <c r="AN48" s="259"/>
      <c r="AO48" s="259"/>
      <c r="AP48" s="600"/>
      <c r="AQ48" s="595"/>
      <c r="AR48" s="259"/>
      <c r="AS48" s="259"/>
      <c r="AT48" s="259"/>
      <c r="AU48" s="600"/>
      <c r="AV48" s="620"/>
      <c r="AW48" s="595"/>
      <c r="AX48" s="259"/>
      <c r="AY48" s="259"/>
      <c r="AZ48" s="259"/>
      <c r="BA48" s="600"/>
      <c r="BB48" s="595"/>
      <c r="BC48" s="259"/>
      <c r="BD48" s="259"/>
      <c r="BE48" s="259"/>
      <c r="BF48" s="600"/>
      <c r="BG48" s="595"/>
      <c r="BH48" s="259"/>
      <c r="BI48" s="259"/>
      <c r="BJ48" s="259"/>
      <c r="BK48" s="600"/>
      <c r="BL48" s="595"/>
      <c r="BM48" s="259"/>
      <c r="BN48" s="259"/>
      <c r="BO48" s="259"/>
      <c r="BP48" s="600"/>
      <c r="BQ48" s="258"/>
      <c r="BR48" s="595"/>
      <c r="BS48" s="259"/>
      <c r="BT48" s="259"/>
      <c r="BU48" s="259"/>
      <c r="BV48" s="600"/>
      <c r="BW48" s="595"/>
      <c r="BX48" s="259"/>
      <c r="BY48" s="259"/>
      <c r="BZ48" s="259"/>
      <c r="CA48" s="600"/>
      <c r="CB48" s="595"/>
      <c r="CC48" s="259"/>
      <c r="CD48" s="259"/>
      <c r="CE48" s="259"/>
      <c r="CF48" s="600"/>
      <c r="CG48" s="595"/>
      <c r="CH48" s="259"/>
      <c r="CI48" s="259"/>
      <c r="CJ48" s="260"/>
      <c r="CK48" s="261"/>
    </row>
    <row r="49" spans="1:179" s="57" customFormat="1" ht="15" customHeight="1" thickBot="1" x14ac:dyDescent="0.2">
      <c r="A49" s="433" t="s">
        <v>221</v>
      </c>
      <c r="B49" s="262"/>
      <c r="C49" s="263"/>
      <c r="D49" s="262"/>
      <c r="E49" s="264"/>
      <c r="F49" s="265">
        <f>AE49</f>
        <v>-126682.35642221538</v>
      </c>
      <c r="G49" s="266">
        <f>AJ49</f>
        <v>-158768.57042458723</v>
      </c>
      <c r="H49" s="266">
        <f>AO49</f>
        <v>-144748.56324513006</v>
      </c>
      <c r="I49" s="266">
        <f>AT49</f>
        <v>-88782.962977703617</v>
      </c>
      <c r="J49" s="267">
        <f>SUM(F49:I49)</f>
        <v>-518982.45306963625</v>
      </c>
      <c r="K49" s="266">
        <f>AZ49</f>
        <v>-74710.644474431465</v>
      </c>
      <c r="L49" s="268">
        <f>BE49</f>
        <v>29742.23875284387</v>
      </c>
      <c r="M49" s="268">
        <f>BJ49</f>
        <v>143929.99173859949</v>
      </c>
      <c r="N49" s="268">
        <f>BO49</f>
        <v>369661.00692941051</v>
      </c>
      <c r="O49" s="267">
        <f>SUM(K49:N49)</f>
        <v>468622.5929464224</v>
      </c>
      <c r="P49" s="268">
        <f>BU49</f>
        <v>842349.56897598389</v>
      </c>
      <c r="Q49" s="268">
        <f>BZ49</f>
        <v>1815504.0520299613</v>
      </c>
      <c r="R49" s="268">
        <f>CE49</f>
        <v>3879126.2381634424</v>
      </c>
      <c r="S49" s="268">
        <f>CJ49</f>
        <v>8271762.3203930482</v>
      </c>
      <c r="T49" s="269">
        <f>SUM(P49:S49)</f>
        <v>14808742.179562435</v>
      </c>
      <c r="U49" s="272"/>
      <c r="V49" s="270">
        <f>SUM(V30-V47)</f>
        <v>77487091.192062989</v>
      </c>
      <c r="W49" s="267">
        <f>SUM(W30-W47)</f>
        <v>310369104.06043243</v>
      </c>
      <c r="X49" s="271">
        <f>SUM(X30-X47)</f>
        <v>737242558.49766052</v>
      </c>
      <c r="Y49" s="272"/>
      <c r="Z49" s="583">
        <f>SUM(Z30-Z47)</f>
        <v>-1083618.2</v>
      </c>
      <c r="AA49" s="621"/>
      <c r="AB49" s="596">
        <f>AB30-AB47</f>
        <v>-42227.45214073846</v>
      </c>
      <c r="AC49" s="273">
        <f>AC30-AC47</f>
        <v>-42227.45214073846</v>
      </c>
      <c r="AD49" s="273">
        <f>AD30-AD47</f>
        <v>-42227.45214073846</v>
      </c>
      <c r="AE49" s="274">
        <f>AE30-AE47</f>
        <v>-126682.35642221538</v>
      </c>
      <c r="AF49" s="601"/>
      <c r="AG49" s="596">
        <f>AG30-AG47</f>
        <v>-52922.856808195742</v>
      </c>
      <c r="AH49" s="273">
        <f>AH30-AH47</f>
        <v>-52922.856808195742</v>
      </c>
      <c r="AI49" s="273">
        <f>AI30-AI47</f>
        <v>-52922.856808195742</v>
      </c>
      <c r="AJ49" s="274">
        <f>AJ30-AJ47</f>
        <v>-158768.57042458723</v>
      </c>
      <c r="AK49" s="601"/>
      <c r="AL49" s="596">
        <f>AL30-AL47</f>
        <v>-50581.405682308134</v>
      </c>
      <c r="AM49" s="273">
        <f>AM30-AM47</f>
        <v>-48302.485892009114</v>
      </c>
      <c r="AN49" s="273">
        <f>AN30-AN47</f>
        <v>-45864.671670812801</v>
      </c>
      <c r="AO49" s="274">
        <f>AO30-AO47</f>
        <v>-144748.56324513006</v>
      </c>
      <c r="AP49" s="601"/>
      <c r="AQ49" s="596">
        <f>AQ30-AQ47</f>
        <v>-36090.932471705783</v>
      </c>
      <c r="AR49" s="273">
        <f>AR30-AR47</f>
        <v>-29689.753631595901</v>
      </c>
      <c r="AS49" s="273">
        <f>AS30-AS47</f>
        <v>-23002.276874401934</v>
      </c>
      <c r="AT49" s="274">
        <f>AT30-AT47</f>
        <v>-88782.962977703617</v>
      </c>
      <c r="AU49" s="601"/>
      <c r="AV49" s="621"/>
      <c r="AW49" s="596">
        <f>AW30-AW47</f>
        <v>-33972.943423999292</v>
      </c>
      <c r="AX49" s="273">
        <f>AX30-AX47</f>
        <v>-24969.471267700646</v>
      </c>
      <c r="AY49" s="273">
        <f>AY30-AY47</f>
        <v>-15768.22978273152</v>
      </c>
      <c r="AZ49" s="274">
        <f>AZ30-AZ47</f>
        <v>-74710.644474431465</v>
      </c>
      <c r="BA49" s="601"/>
      <c r="BB49" s="596">
        <f>BB30-BB47</f>
        <v>-5940.9000898286613</v>
      </c>
      <c r="BC49" s="273">
        <f>BC30-BC47</f>
        <v>9898.4631777521863</v>
      </c>
      <c r="BD49" s="273">
        <f>BD30-BD47</f>
        <v>25784.675664920389</v>
      </c>
      <c r="BE49" s="274">
        <f>BE30-BE47</f>
        <v>29742.23875284387</v>
      </c>
      <c r="BF49" s="601"/>
      <c r="BG49" s="596">
        <f>BG30-BG47</f>
        <v>20609.780430891144</v>
      </c>
      <c r="BH49" s="273">
        <f>BH30-BH47</f>
        <v>47922.538738878065</v>
      </c>
      <c r="BI49" s="273">
        <f>BI30-BI47</f>
        <v>75397.672568830283</v>
      </c>
      <c r="BJ49" s="274">
        <f>BJ30-BJ47</f>
        <v>143929.99173859949</v>
      </c>
      <c r="BK49" s="601"/>
      <c r="BL49" s="596">
        <f>BL30-BL47</f>
        <v>65826.731357175857</v>
      </c>
      <c r="BM49" s="273">
        <f>BM30-BM47</f>
        <v>122936.17057584203</v>
      </c>
      <c r="BN49" s="273">
        <f>BN30-BN47</f>
        <v>180898.10499639268</v>
      </c>
      <c r="BO49" s="274">
        <f>BO30-BO47</f>
        <v>369661.00692941051</v>
      </c>
      <c r="BP49" s="601"/>
      <c r="BQ49" s="272"/>
      <c r="BR49" s="596">
        <f>BR30-BR47</f>
        <v>165566.83111482603</v>
      </c>
      <c r="BS49" s="273">
        <f>BS30-BS47</f>
        <v>279872.60517242318</v>
      </c>
      <c r="BT49" s="273">
        <f>BT30-BT47</f>
        <v>396910.13268873445</v>
      </c>
      <c r="BU49" s="274">
        <f>BU30-BU47</f>
        <v>842349.56897598389</v>
      </c>
      <c r="BV49" s="601"/>
      <c r="BW49" s="596">
        <f>BW30-BW47</f>
        <v>373185.25418420299</v>
      </c>
      <c r="BX49" s="273">
        <f>BX30-BX47</f>
        <v>602655.06857751403</v>
      </c>
      <c r="BY49" s="273">
        <f>BY30-BY47</f>
        <v>839663.72926824377</v>
      </c>
      <c r="BZ49" s="274">
        <f>BZ30-BZ47</f>
        <v>1815504.0520299613</v>
      </c>
      <c r="CA49" s="601"/>
      <c r="CB49" s="596">
        <f>CB30-CB47</f>
        <v>817548.46585254651</v>
      </c>
      <c r="CC49" s="273">
        <f>CC30-CC47</f>
        <v>1286510.8755976693</v>
      </c>
      <c r="CD49" s="273">
        <f>CD30-CD47</f>
        <v>1775066.896713227</v>
      </c>
      <c r="CE49" s="274">
        <f>CE30-CE47</f>
        <v>3879126.2381634424</v>
      </c>
      <c r="CF49" s="601"/>
      <c r="CG49" s="596">
        <f>CG30-CG47</f>
        <v>1763319.8217116701</v>
      </c>
      <c r="CH49" s="273">
        <f>CH30-CH47</f>
        <v>2740748.0477324189</v>
      </c>
      <c r="CI49" s="273">
        <f>CI30-CI47</f>
        <v>3767694.4509489588</v>
      </c>
      <c r="CJ49" s="267">
        <f>CJ30-CJ47</f>
        <v>8271762.3203930482</v>
      </c>
      <c r="CK49" s="271"/>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row>
    <row r="50" spans="1:179" s="57" customFormat="1" ht="9.75" customHeight="1" x14ac:dyDescent="0.15">
      <c r="A50" s="54"/>
      <c r="B50" s="275"/>
      <c r="C50" s="275"/>
      <c r="D50" s="44"/>
      <c r="E50" s="44"/>
      <c r="F50" s="44"/>
      <c r="G50" s="44"/>
      <c r="H50" s="44"/>
      <c r="I50" s="44"/>
      <c r="J50" s="276"/>
      <c r="K50" s="44"/>
      <c r="L50" s="44"/>
      <c r="M50" s="44"/>
      <c r="N50" s="44"/>
      <c r="O50" s="276"/>
      <c r="P50" s="44"/>
      <c r="Q50" s="44"/>
      <c r="R50" s="44"/>
      <c r="S50" s="44"/>
      <c r="T50" s="44"/>
      <c r="U50" s="44"/>
      <c r="V50" s="44"/>
      <c r="W50" s="44"/>
      <c r="X50" s="44"/>
      <c r="Y50" s="276"/>
      <c r="Z50" s="276"/>
      <c r="AA50" s="276"/>
      <c r="AB50" s="54"/>
      <c r="AC50" s="55"/>
      <c r="AD50" s="55"/>
      <c r="AE50" s="55"/>
      <c r="AF50" s="55"/>
      <c r="AG50" s="55"/>
      <c r="AH50" s="55"/>
      <c r="AI50" s="55"/>
      <c r="AJ50" s="55"/>
      <c r="AK50" s="55"/>
      <c r="AL50" s="55"/>
      <c r="AM50" s="55"/>
      <c r="AN50" s="55"/>
      <c r="AO50" s="56"/>
      <c r="AP50" s="56"/>
      <c r="AQ50" s="56"/>
      <c r="AR50" s="56"/>
      <c r="AS50" s="56"/>
      <c r="AT50" s="56"/>
      <c r="AU50" s="56"/>
      <c r="AV50" s="276"/>
      <c r="AW50" s="56"/>
      <c r="AX50" s="56"/>
      <c r="AZ50" s="58"/>
      <c r="BA50" s="58"/>
      <c r="BB50" s="56"/>
      <c r="BC50" s="56"/>
      <c r="BD50" s="56"/>
      <c r="BE50" s="56"/>
      <c r="BF50" s="56"/>
      <c r="BG50" s="56"/>
      <c r="BH50" s="56"/>
      <c r="BI50" s="56"/>
      <c r="BJ50" s="56"/>
      <c r="BK50" s="56"/>
      <c r="BL50" s="56"/>
      <c r="BM50" s="56"/>
      <c r="BN50" s="56"/>
      <c r="BO50" s="56"/>
      <c r="BP50" s="56"/>
      <c r="BQ50" s="276"/>
      <c r="BR50" s="56"/>
      <c r="BS50" s="56"/>
      <c r="BU50" s="58"/>
      <c r="BV50" s="58"/>
      <c r="BW50" s="56"/>
      <c r="BX50" s="56"/>
      <c r="BY50" s="56"/>
      <c r="BZ50" s="56"/>
      <c r="CA50" s="56"/>
      <c r="CB50" s="56"/>
      <c r="CC50" s="56"/>
      <c r="CD50" s="56"/>
      <c r="CE50" s="56"/>
      <c r="CF50" s="56"/>
      <c r="CG50" s="56"/>
      <c r="CH50" s="56"/>
      <c r="CI50" s="56"/>
      <c r="CJ50" s="56"/>
      <c r="CK50" s="56"/>
    </row>
    <row r="51" spans="1:179" s="57" customFormat="1" ht="9.75" customHeight="1" x14ac:dyDescent="0.15">
      <c r="A51" s="277"/>
      <c r="B51" s="278"/>
      <c r="C51" s="278"/>
      <c r="D51" s="44"/>
      <c r="E51" s="44"/>
      <c r="F51" s="44"/>
      <c r="G51" s="44"/>
      <c r="H51" s="44"/>
      <c r="I51" s="44"/>
      <c r="J51" s="53"/>
      <c r="K51" s="44"/>
      <c r="L51" s="44"/>
      <c r="M51" s="44"/>
      <c r="N51" s="44"/>
      <c r="O51" s="53"/>
      <c r="P51" s="44"/>
      <c r="Q51" s="44"/>
      <c r="R51" s="44"/>
      <c r="S51" s="44"/>
      <c r="T51" s="44"/>
      <c r="U51" s="44"/>
      <c r="V51" s="44"/>
      <c r="W51" s="44"/>
      <c r="X51" s="44"/>
      <c r="Y51" s="53"/>
      <c r="Z51" s="53"/>
      <c r="AA51" s="53"/>
      <c r="AB51" s="54"/>
      <c r="AC51" s="55"/>
      <c r="AD51" s="55"/>
      <c r="AE51" s="55"/>
      <c r="AF51" s="55"/>
      <c r="AG51" s="55"/>
      <c r="AH51" s="55"/>
      <c r="AI51" s="55"/>
      <c r="AJ51" s="55"/>
      <c r="AK51" s="55"/>
      <c r="AL51" s="55"/>
      <c r="AM51" s="55"/>
      <c r="AN51" s="55"/>
      <c r="AO51" s="56"/>
      <c r="AP51" s="56"/>
      <c r="AQ51" s="56"/>
      <c r="AR51" s="56"/>
      <c r="AS51" s="56"/>
      <c r="AT51" s="56"/>
      <c r="AU51" s="56"/>
      <c r="AV51" s="53"/>
      <c r="AW51" s="56"/>
      <c r="AX51" s="56"/>
      <c r="AZ51" s="58"/>
      <c r="BA51" s="58"/>
      <c r="BB51" s="56"/>
      <c r="BC51" s="56"/>
      <c r="BD51" s="56"/>
      <c r="BE51" s="56"/>
      <c r="BF51" s="56"/>
      <c r="BG51" s="56"/>
      <c r="BH51" s="56"/>
      <c r="BI51" s="56"/>
      <c r="BJ51" s="56"/>
      <c r="BK51" s="56"/>
      <c r="BL51" s="56"/>
      <c r="BM51" s="56"/>
      <c r="BN51" s="56"/>
      <c r="BO51" s="56"/>
      <c r="BP51" s="56"/>
      <c r="BQ51" s="53"/>
      <c r="BR51" s="56"/>
      <c r="BS51" s="56"/>
      <c r="BU51" s="58"/>
      <c r="BV51" s="58"/>
      <c r="BW51" s="56"/>
      <c r="BX51" s="56"/>
      <c r="BY51" s="56"/>
      <c r="BZ51" s="56"/>
      <c r="CA51" s="56"/>
      <c r="CB51" s="56"/>
      <c r="CC51" s="56"/>
      <c r="CD51" s="56"/>
      <c r="CE51" s="56"/>
      <c r="CF51" s="56"/>
      <c r="CG51" s="56"/>
      <c r="CH51" s="56"/>
      <c r="CI51" s="56"/>
      <c r="CJ51" s="56"/>
      <c r="CK51" s="56"/>
    </row>
    <row r="52" spans="1:179" s="57" customFormat="1" ht="9.75" customHeight="1" x14ac:dyDescent="0.15">
      <c r="A52" s="279"/>
      <c r="B52" s="278"/>
      <c r="C52" s="278"/>
      <c r="D52" s="44"/>
      <c r="E52" s="44"/>
      <c r="F52" s="44"/>
      <c r="G52" s="44"/>
      <c r="H52" s="44"/>
      <c r="I52" s="44"/>
      <c r="J52" s="53"/>
      <c r="K52" s="44"/>
      <c r="L52" s="44"/>
      <c r="M52" s="44"/>
      <c r="N52" s="44"/>
      <c r="O52" s="53"/>
      <c r="P52" s="44"/>
      <c r="Q52" s="44"/>
      <c r="R52" s="44"/>
      <c r="S52" s="44"/>
      <c r="T52" s="44"/>
      <c r="U52" s="44"/>
      <c r="V52" s="44"/>
      <c r="W52" s="44"/>
      <c r="X52" s="44"/>
      <c r="Y52" s="53"/>
      <c r="Z52" s="53"/>
      <c r="AA52" s="53"/>
      <c r="AB52" s="54"/>
      <c r="AC52" s="55"/>
      <c r="AD52" s="55"/>
      <c r="AE52" s="55"/>
      <c r="AF52" s="55"/>
      <c r="AG52" s="55"/>
      <c r="AH52" s="55"/>
      <c r="AI52" s="55"/>
      <c r="AJ52" s="55"/>
      <c r="AK52" s="55"/>
      <c r="AL52" s="55"/>
      <c r="AM52" s="55"/>
      <c r="AN52" s="55"/>
      <c r="AO52" s="56"/>
      <c r="AP52" s="56"/>
      <c r="AQ52" s="56"/>
      <c r="AR52" s="56"/>
      <c r="AS52" s="56"/>
      <c r="AT52" s="56"/>
      <c r="AU52" s="56"/>
      <c r="AV52" s="53"/>
      <c r="AW52" s="56"/>
      <c r="AX52" s="56"/>
      <c r="AZ52" s="58"/>
      <c r="BA52" s="58"/>
      <c r="BB52" s="56"/>
      <c r="BC52" s="56"/>
      <c r="BD52" s="56"/>
      <c r="BE52" s="56"/>
      <c r="BF52" s="56"/>
      <c r="BG52" s="56"/>
      <c r="BH52" s="56"/>
      <c r="BI52" s="56"/>
      <c r="BJ52" s="56"/>
      <c r="BK52" s="56"/>
      <c r="BL52" s="56"/>
      <c r="BM52" s="56"/>
      <c r="BN52" s="56"/>
      <c r="BO52" s="56"/>
      <c r="BP52" s="56"/>
      <c r="BQ52" s="53"/>
      <c r="BR52" s="56"/>
      <c r="BS52" s="56"/>
      <c r="BU52" s="58"/>
      <c r="BV52" s="58"/>
      <c r="BW52" s="56"/>
      <c r="BX52" s="56"/>
      <c r="BY52" s="56"/>
      <c r="BZ52" s="56"/>
      <c r="CA52" s="56"/>
      <c r="CB52" s="56"/>
      <c r="CC52" s="56"/>
      <c r="CD52" s="56"/>
      <c r="CE52" s="56"/>
      <c r="CF52" s="56"/>
      <c r="CG52" s="56"/>
      <c r="CH52" s="56"/>
      <c r="CI52" s="56"/>
      <c r="CJ52" s="56"/>
      <c r="CK52" s="56"/>
    </row>
    <row r="53" spans="1:179" s="57" customFormat="1" ht="9.75" customHeight="1" x14ac:dyDescent="0.15">
      <c r="A53" s="70"/>
      <c r="B53" s="278"/>
      <c r="C53" s="278"/>
      <c r="D53" s="44"/>
      <c r="E53" s="44"/>
      <c r="F53" s="44"/>
      <c r="G53" s="44"/>
      <c r="H53" s="44"/>
      <c r="I53" s="44"/>
      <c r="J53" s="53"/>
      <c r="K53" s="44"/>
      <c r="L53" s="44"/>
      <c r="M53" s="44"/>
      <c r="N53" s="44"/>
      <c r="O53" s="53"/>
      <c r="P53" s="44"/>
      <c r="Q53" s="44"/>
      <c r="R53" s="44"/>
      <c r="S53" s="44"/>
      <c r="T53" s="44"/>
      <c r="U53" s="44"/>
      <c r="V53" s="44"/>
      <c r="W53" s="44"/>
      <c r="X53" s="44"/>
      <c r="Y53" s="53"/>
      <c r="Z53" s="53"/>
      <c r="AA53" s="53"/>
      <c r="AB53" s="54"/>
      <c r="AC53" s="55"/>
      <c r="AD53" s="55"/>
      <c r="AE53" s="55"/>
      <c r="AF53" s="55"/>
      <c r="AG53" s="55"/>
      <c r="AH53" s="55"/>
      <c r="AI53" s="55"/>
      <c r="AJ53" s="55"/>
      <c r="AK53" s="55"/>
      <c r="AL53" s="55"/>
      <c r="AM53" s="55"/>
      <c r="AN53" s="55"/>
      <c r="AO53" s="56"/>
      <c r="AP53" s="56"/>
      <c r="AQ53" s="56"/>
      <c r="AR53" s="56"/>
      <c r="AS53" s="56"/>
      <c r="AT53" s="56"/>
      <c r="AU53" s="56"/>
      <c r="AV53" s="53"/>
      <c r="AW53" s="56"/>
      <c r="AX53" s="56"/>
      <c r="AZ53" s="58"/>
      <c r="BA53" s="58"/>
      <c r="BB53" s="56"/>
      <c r="BC53" s="56"/>
      <c r="BD53" s="56"/>
      <c r="BE53" s="56"/>
      <c r="BF53" s="56"/>
      <c r="BG53" s="56"/>
      <c r="BH53" s="56"/>
      <c r="BI53" s="56"/>
      <c r="BJ53" s="56"/>
      <c r="BK53" s="56"/>
      <c r="BL53" s="56"/>
      <c r="BM53" s="56"/>
      <c r="BN53" s="56"/>
      <c r="BO53" s="56"/>
      <c r="BP53" s="56"/>
      <c r="BQ53" s="53"/>
      <c r="BR53" s="56"/>
      <c r="BS53" s="56"/>
      <c r="BU53" s="58"/>
      <c r="BV53" s="58"/>
      <c r="BW53" s="56"/>
      <c r="BX53" s="56"/>
      <c r="BY53" s="56"/>
      <c r="BZ53" s="56"/>
      <c r="CA53" s="56"/>
      <c r="CB53" s="56"/>
      <c r="CC53" s="56"/>
      <c r="CD53" s="56"/>
      <c r="CE53" s="56"/>
      <c r="CF53" s="56"/>
      <c r="CG53" s="56"/>
      <c r="CH53" s="56"/>
      <c r="CI53" s="56"/>
      <c r="CJ53" s="56"/>
      <c r="CK53" s="56"/>
    </row>
    <row r="54" spans="1:179" s="57" customFormat="1" ht="9.75" customHeight="1" x14ac:dyDescent="0.15">
      <c r="A54" s="277"/>
      <c r="B54" s="280"/>
      <c r="C54" s="280"/>
      <c r="D54" s="44"/>
      <c r="E54" s="44"/>
      <c r="F54" s="44"/>
      <c r="G54" s="44"/>
      <c r="H54" s="44"/>
      <c r="I54" s="44"/>
      <c r="J54" s="53"/>
      <c r="K54" s="44"/>
      <c r="L54" s="44"/>
      <c r="M54" s="44"/>
      <c r="N54" s="44"/>
      <c r="O54" s="53"/>
      <c r="P54" s="44"/>
      <c r="Q54" s="44"/>
      <c r="R54" s="44"/>
      <c r="S54" s="44"/>
      <c r="T54" s="44"/>
      <c r="U54" s="44"/>
      <c r="V54" s="44"/>
      <c r="W54" s="44"/>
      <c r="X54" s="44"/>
      <c r="Y54" s="53"/>
      <c r="Z54" s="53"/>
      <c r="AA54" s="53"/>
      <c r="AB54" s="54"/>
      <c r="AC54" s="55"/>
      <c r="AD54" s="55"/>
      <c r="AE54" s="55"/>
      <c r="AF54" s="55"/>
      <c r="AG54" s="55"/>
      <c r="AH54" s="55"/>
      <c r="AI54" s="55"/>
      <c r="AJ54" s="55"/>
      <c r="AK54" s="55"/>
      <c r="AL54" s="55"/>
      <c r="AM54" s="55"/>
      <c r="AN54" s="55"/>
      <c r="AO54" s="56"/>
      <c r="AP54" s="56"/>
      <c r="AQ54" s="56"/>
      <c r="AR54" s="56"/>
      <c r="AS54" s="56"/>
      <c r="AT54" s="56"/>
      <c r="AU54" s="56"/>
      <c r="AV54" s="53"/>
      <c r="AW54" s="56"/>
      <c r="AX54" s="56"/>
      <c r="AZ54" s="58"/>
      <c r="BA54" s="58"/>
      <c r="BB54" s="56"/>
      <c r="BC54" s="56"/>
      <c r="BD54" s="56"/>
      <c r="BE54" s="56"/>
      <c r="BF54" s="56"/>
      <c r="BG54" s="56"/>
      <c r="BH54" s="56"/>
      <c r="BI54" s="56"/>
      <c r="BJ54" s="56"/>
      <c r="BK54" s="56"/>
      <c r="BL54" s="56"/>
      <c r="BM54" s="56"/>
      <c r="BN54" s="56"/>
      <c r="BO54" s="56"/>
      <c r="BP54" s="56"/>
      <c r="BQ54" s="53"/>
      <c r="BR54" s="56"/>
      <c r="BS54" s="56"/>
      <c r="BU54" s="58"/>
      <c r="BV54" s="58"/>
      <c r="BW54" s="56"/>
      <c r="BX54" s="56"/>
      <c r="BY54" s="56"/>
      <c r="BZ54" s="56"/>
      <c r="CA54" s="56"/>
      <c r="CB54" s="56"/>
      <c r="CC54" s="56"/>
      <c r="CD54" s="56"/>
      <c r="CE54" s="56"/>
      <c r="CF54" s="56"/>
      <c r="CG54" s="56"/>
      <c r="CH54" s="56"/>
      <c r="CI54" s="56"/>
      <c r="CJ54" s="56"/>
      <c r="CK54" s="56"/>
    </row>
    <row r="55" spans="1:179" s="57" customFormat="1" ht="11.25" customHeight="1" x14ac:dyDescent="0.15">
      <c r="A55" s="54"/>
      <c r="B55" s="54"/>
      <c r="C55" s="54"/>
      <c r="D55" s="44"/>
      <c r="E55" s="44"/>
      <c r="F55" s="44"/>
      <c r="G55" s="44"/>
      <c r="H55" s="44"/>
      <c r="I55" s="44"/>
      <c r="J55" s="64" t="s">
        <v>40</v>
      </c>
      <c r="K55" s="44"/>
      <c r="L55" s="44"/>
      <c r="M55" s="44"/>
      <c r="N55" s="44"/>
      <c r="O55" s="65"/>
      <c r="P55" s="44"/>
      <c r="Q55" s="44"/>
      <c r="R55" s="44"/>
      <c r="S55" s="44"/>
      <c r="T55" s="44"/>
      <c r="U55" s="44"/>
      <c r="V55" s="44"/>
      <c r="W55" s="44"/>
      <c r="X55" s="44"/>
      <c r="Y55" s="65"/>
      <c r="Z55" s="65"/>
      <c r="AA55" s="65"/>
      <c r="AB55" s="55"/>
      <c r="AC55" s="55"/>
      <c r="AD55" s="55"/>
      <c r="AE55" s="55"/>
      <c r="AF55" s="55"/>
      <c r="AG55" s="55"/>
      <c r="AH55" s="55"/>
      <c r="AI55" s="55"/>
      <c r="AJ55" s="55"/>
      <c r="AK55" s="55"/>
      <c r="AL55" s="55"/>
      <c r="AM55" s="55"/>
      <c r="AN55" s="55"/>
      <c r="AV55" s="65"/>
      <c r="AZ55" s="66"/>
      <c r="BA55" s="66"/>
      <c r="BQ55" s="65"/>
      <c r="BU55" s="66"/>
      <c r="BV55" s="66"/>
    </row>
    <row r="56" spans="1:179" s="57" customFormat="1" ht="11.25" customHeight="1" x14ac:dyDescent="0.15">
      <c r="A56" s="54"/>
      <c r="B56" s="54"/>
      <c r="C56" s="54"/>
      <c r="D56" s="44"/>
      <c r="E56" s="44"/>
      <c r="F56" s="44"/>
      <c r="G56" s="44"/>
      <c r="H56" s="44"/>
      <c r="I56" s="44"/>
      <c r="J56" s="64" t="s">
        <v>40</v>
      </c>
      <c r="K56" s="44"/>
      <c r="L56" s="44"/>
      <c r="M56" s="44"/>
      <c r="N56" s="44"/>
      <c r="O56" s="65"/>
      <c r="P56" s="44"/>
      <c r="Q56" s="44"/>
      <c r="R56" s="44"/>
      <c r="S56" s="44"/>
      <c r="T56" s="44"/>
      <c r="U56" s="44"/>
      <c r="V56" s="44"/>
      <c r="W56" s="44"/>
      <c r="X56" s="44"/>
      <c r="Y56" s="65"/>
      <c r="Z56" s="65"/>
      <c r="AA56" s="65"/>
      <c r="AB56" s="69"/>
      <c r="AC56" s="55"/>
      <c r="AD56" s="55"/>
      <c r="AE56" s="70"/>
      <c r="AF56" s="70"/>
      <c r="AG56" s="54"/>
      <c r="AH56" s="54"/>
      <c r="AI56" s="54"/>
      <c r="AJ56" s="54"/>
      <c r="AK56" s="54"/>
      <c r="AL56" s="54"/>
      <c r="AM56" s="54"/>
      <c r="AN56" s="54"/>
      <c r="AO56" s="56"/>
      <c r="AP56" s="56"/>
      <c r="AQ56" s="56"/>
      <c r="AR56" s="56"/>
      <c r="AS56" s="56"/>
      <c r="AT56" s="56"/>
      <c r="AU56" s="56"/>
      <c r="AV56" s="65"/>
      <c r="AW56" s="56"/>
      <c r="AX56" s="56"/>
      <c r="AZ56" s="58"/>
      <c r="BA56" s="58"/>
      <c r="BB56" s="56"/>
      <c r="BC56" s="56"/>
      <c r="BD56" s="56"/>
      <c r="BE56" s="56"/>
      <c r="BF56" s="56"/>
      <c r="BG56" s="56"/>
      <c r="BH56" s="56"/>
      <c r="BI56" s="56"/>
      <c r="BJ56" s="56"/>
      <c r="BK56" s="56"/>
      <c r="BL56" s="56"/>
      <c r="BM56" s="56"/>
      <c r="BN56" s="56"/>
      <c r="BO56" s="56"/>
      <c r="BP56" s="56"/>
      <c r="BQ56" s="65"/>
      <c r="BR56" s="56"/>
      <c r="BS56" s="56"/>
      <c r="BU56" s="58"/>
      <c r="BV56" s="58"/>
      <c r="BW56" s="56"/>
      <c r="BX56" s="56"/>
      <c r="BY56" s="56"/>
      <c r="BZ56" s="56"/>
      <c r="CA56" s="56"/>
      <c r="CB56" s="56"/>
      <c r="CC56" s="56"/>
      <c r="CD56" s="56"/>
      <c r="CE56" s="56"/>
      <c r="CF56" s="56"/>
      <c r="CG56" s="56"/>
      <c r="CH56" s="56"/>
      <c r="CI56" s="56"/>
      <c r="CJ56" s="56"/>
      <c r="CK56" s="56"/>
    </row>
    <row r="57" spans="1:179" s="57" customFormat="1" ht="11.25" customHeight="1" x14ac:dyDescent="0.2">
      <c r="A57" s="54"/>
      <c r="B57" s="54"/>
      <c r="C57" s="54"/>
      <c r="D57" s="87"/>
      <c r="E57" s="87"/>
      <c r="F57" s="39"/>
      <c r="G57" s="88"/>
      <c r="H57" s="39"/>
      <c r="I57" s="87"/>
      <c r="J57" s="64" t="s">
        <v>40</v>
      </c>
      <c r="K57" s="87"/>
      <c r="L57" s="39"/>
      <c r="M57" s="87"/>
      <c r="N57" s="39"/>
      <c r="O57" s="72"/>
      <c r="P57" s="39"/>
      <c r="Q57" s="41"/>
      <c r="R57" s="41"/>
      <c r="S57" s="41"/>
      <c r="T57" s="41"/>
      <c r="U57" s="41"/>
      <c r="V57" s="41"/>
      <c r="W57" s="41"/>
      <c r="X57" s="41"/>
      <c r="Y57" s="72"/>
      <c r="Z57" s="72"/>
      <c r="AA57" s="72"/>
      <c r="AB57" s="55"/>
      <c r="AC57" s="55"/>
      <c r="AD57" s="55"/>
      <c r="AE57" s="73"/>
      <c r="AF57" s="73"/>
      <c r="AG57" s="55"/>
      <c r="AH57" s="55"/>
      <c r="AI57" s="55"/>
      <c r="AJ57" s="55"/>
      <c r="AK57" s="55"/>
      <c r="AL57" s="55"/>
      <c r="AM57" s="55"/>
      <c r="AN57" s="55"/>
      <c r="AV57" s="72"/>
      <c r="AZ57" s="74"/>
      <c r="BA57" s="74"/>
      <c r="BQ57" s="72"/>
      <c r="BU57" s="74"/>
      <c r="BV57" s="74"/>
    </row>
    <row r="58" spans="1:179" s="57" customFormat="1" ht="11.25" customHeight="1" x14ac:dyDescent="0.15">
      <c r="A58" s="54"/>
      <c r="B58" s="54"/>
      <c r="C58" s="54"/>
      <c r="D58" s="44"/>
      <c r="E58" s="44"/>
      <c r="F58" s="44"/>
      <c r="G58" s="44"/>
      <c r="H58" s="44"/>
      <c r="I58" s="44"/>
      <c r="J58" s="64"/>
      <c r="K58" s="44"/>
      <c r="L58" s="44"/>
      <c r="M58" s="44"/>
      <c r="N58" s="44"/>
      <c r="O58" s="72"/>
      <c r="P58" s="44"/>
      <c r="Q58" s="44"/>
      <c r="R58" s="44"/>
      <c r="S58" s="44"/>
      <c r="T58" s="44"/>
      <c r="U58" s="44"/>
      <c r="V58" s="44"/>
      <c r="W58" s="44"/>
      <c r="X58" s="44"/>
      <c r="Y58" s="72"/>
      <c r="Z58" s="72"/>
      <c r="AA58" s="72"/>
      <c r="AB58" s="55"/>
      <c r="AC58" s="55"/>
      <c r="AD58" s="55"/>
      <c r="AE58" s="73"/>
      <c r="AF58" s="73"/>
      <c r="AG58" s="55"/>
      <c r="AH58" s="55"/>
      <c r="AI58" s="55"/>
      <c r="AJ58" s="55"/>
      <c r="AK58" s="55"/>
      <c r="AL58" s="55"/>
      <c r="AM58" s="55"/>
      <c r="AN58" s="55"/>
      <c r="AV58" s="72"/>
      <c r="AZ58" s="74"/>
      <c r="BA58" s="74"/>
      <c r="BQ58" s="72"/>
      <c r="BU58" s="74"/>
      <c r="BV58" s="74"/>
    </row>
    <row r="59" spans="1:179" s="57" customFormat="1" ht="11.25" customHeight="1" x14ac:dyDescent="0.15">
      <c r="A59" s="86"/>
      <c r="B59" s="54"/>
      <c r="C59" s="54"/>
      <c r="D59" s="44"/>
      <c r="E59" s="44"/>
      <c r="F59" s="44"/>
      <c r="G59" s="44"/>
      <c r="H59" s="44"/>
      <c r="I59" s="44"/>
      <c r="J59" s="64"/>
      <c r="K59" s="44"/>
      <c r="L59" s="44"/>
      <c r="M59" s="44"/>
      <c r="N59" s="44"/>
      <c r="O59" s="65"/>
      <c r="P59" s="44"/>
      <c r="Q59" s="44"/>
      <c r="R59" s="44"/>
      <c r="S59" s="44"/>
      <c r="T59" s="44"/>
      <c r="U59" s="44"/>
      <c r="V59" s="44"/>
      <c r="W59" s="44"/>
      <c r="X59" s="44"/>
      <c r="Y59" s="65"/>
      <c r="Z59" s="65"/>
      <c r="AA59" s="65"/>
      <c r="AB59" s="55"/>
      <c r="AC59" s="55"/>
      <c r="AD59" s="55"/>
      <c r="AE59" s="55"/>
      <c r="AF59" s="55"/>
      <c r="AG59" s="55"/>
      <c r="AH59" s="55"/>
      <c r="AI59" s="55"/>
      <c r="AJ59" s="55"/>
      <c r="AK59" s="55"/>
      <c r="AL59" s="55"/>
      <c r="AM59" s="55"/>
      <c r="AN59" s="55"/>
      <c r="AV59" s="65"/>
      <c r="AZ59" s="66"/>
      <c r="BA59" s="66"/>
      <c r="BQ59" s="65"/>
      <c r="BU59" s="66"/>
      <c r="BV59" s="66"/>
    </row>
    <row r="60" spans="1:179" s="57" customFormat="1" ht="11.25" customHeight="1" x14ac:dyDescent="0.15">
      <c r="A60" s="54"/>
      <c r="B60" s="281"/>
      <c r="C60" s="54"/>
      <c r="D60" s="44"/>
      <c r="E60" s="44"/>
      <c r="F60" s="44"/>
      <c r="G60" s="44"/>
      <c r="H60" s="44"/>
      <c r="I60" s="44"/>
      <c r="J60" s="64"/>
      <c r="K60" s="44"/>
      <c r="L60" s="44"/>
      <c r="M60" s="44"/>
      <c r="N60" s="44"/>
      <c r="O60" s="65"/>
      <c r="P60" s="44"/>
      <c r="Q60" s="44"/>
      <c r="R60" s="44"/>
      <c r="S60" s="44"/>
      <c r="T60" s="44"/>
      <c r="U60" s="44"/>
      <c r="V60" s="44"/>
      <c r="W60" s="44"/>
      <c r="X60" s="44"/>
      <c r="Y60" s="65"/>
      <c r="Z60" s="65"/>
      <c r="AA60" s="65"/>
      <c r="AB60" s="55"/>
      <c r="AC60" s="55"/>
      <c r="AD60" s="55"/>
      <c r="AE60" s="55"/>
      <c r="AF60" s="55"/>
      <c r="AG60" s="55"/>
      <c r="AH60" s="55"/>
      <c r="AI60" s="55"/>
      <c r="AJ60" s="55"/>
      <c r="AK60" s="55"/>
      <c r="AL60" s="55"/>
      <c r="AM60" s="55"/>
      <c r="AN60" s="55"/>
      <c r="AV60" s="65"/>
      <c r="AZ60" s="66"/>
      <c r="BA60" s="66"/>
      <c r="BQ60" s="65"/>
      <c r="BU60" s="66"/>
      <c r="BV60" s="66"/>
    </row>
    <row r="61" spans="1:179" s="57" customFormat="1" ht="11.25" customHeight="1" x14ac:dyDescent="0.15">
      <c r="A61" s="54"/>
      <c r="B61" s="281"/>
      <c r="C61" s="54"/>
      <c r="D61" s="44"/>
      <c r="E61" s="44"/>
      <c r="F61" s="44"/>
      <c r="G61" s="44"/>
      <c r="H61" s="44"/>
      <c r="I61" s="44"/>
      <c r="J61" s="64"/>
      <c r="K61" s="44"/>
      <c r="L61" s="44"/>
      <c r="M61" s="44"/>
      <c r="N61" s="44"/>
      <c r="O61" s="65"/>
      <c r="P61" s="44"/>
      <c r="Q61" s="44"/>
      <c r="R61" s="44"/>
      <c r="S61" s="44"/>
      <c r="T61" s="44"/>
      <c r="U61" s="44"/>
      <c r="V61" s="44"/>
      <c r="W61" s="44"/>
      <c r="X61" s="44"/>
      <c r="Y61" s="65"/>
      <c r="Z61" s="65"/>
      <c r="AA61" s="65"/>
      <c r="AB61" s="55"/>
      <c r="AC61" s="55"/>
      <c r="AD61" s="55"/>
      <c r="AE61" s="55"/>
      <c r="AF61" s="55"/>
      <c r="AG61" s="55"/>
      <c r="AH61" s="55"/>
      <c r="AI61" s="55"/>
      <c r="AJ61" s="55"/>
      <c r="AK61" s="55"/>
      <c r="AL61" s="55"/>
      <c r="AM61" s="55"/>
      <c r="AN61" s="55"/>
      <c r="AV61" s="65"/>
      <c r="AZ61" s="66"/>
      <c r="BA61" s="66"/>
      <c r="BQ61" s="65"/>
      <c r="BU61" s="66"/>
      <c r="BV61" s="66"/>
    </row>
    <row r="62" spans="1:179" s="57" customFormat="1" ht="11.25" customHeight="1" x14ac:dyDescent="0.15">
      <c r="A62" s="54"/>
      <c r="B62" s="54"/>
      <c r="C62" s="54"/>
      <c r="D62" s="44"/>
      <c r="E62" s="44"/>
      <c r="F62" s="44"/>
      <c r="G62" s="44"/>
      <c r="H62" s="44"/>
      <c r="I62" s="44"/>
      <c r="J62" s="64" t="s">
        <v>40</v>
      </c>
      <c r="K62" s="44"/>
      <c r="L62" s="44"/>
      <c r="M62" s="44"/>
      <c r="N62" s="44"/>
      <c r="O62" s="65"/>
      <c r="P62" s="44"/>
      <c r="Q62" s="44"/>
      <c r="R62" s="44"/>
      <c r="S62" s="44"/>
      <c r="T62" s="44"/>
      <c r="U62" s="44"/>
      <c r="V62" s="44"/>
      <c r="W62" s="44"/>
      <c r="X62" s="44"/>
      <c r="Y62" s="65"/>
      <c r="Z62" s="65"/>
      <c r="AA62" s="65"/>
      <c r="AB62" s="55"/>
      <c r="AC62" s="55"/>
      <c r="AD62" s="73"/>
      <c r="AE62" s="55"/>
      <c r="AF62" s="55"/>
      <c r="AG62" s="55"/>
      <c r="AH62" s="55"/>
      <c r="AI62" s="55"/>
      <c r="AJ62" s="55"/>
      <c r="AK62" s="55"/>
      <c r="AL62" s="55"/>
      <c r="AM62" s="55"/>
      <c r="AN62" s="55"/>
      <c r="AV62" s="65"/>
      <c r="AY62" s="74"/>
      <c r="BQ62" s="65"/>
      <c r="BT62" s="74"/>
    </row>
    <row r="63" spans="1:179" s="57" customFormat="1" ht="11.25" customHeight="1" x14ac:dyDescent="0.15">
      <c r="A63" s="54"/>
      <c r="B63" s="54"/>
      <c r="C63" s="54"/>
      <c r="D63" s="44"/>
      <c r="E63" s="44"/>
      <c r="F63" s="44"/>
      <c r="G63" s="44"/>
      <c r="H63" s="44"/>
      <c r="I63" s="44"/>
      <c r="J63" s="78" t="s">
        <v>40</v>
      </c>
      <c r="K63" s="44"/>
      <c r="L63" s="44"/>
      <c r="M63" s="44"/>
      <c r="N63" s="44"/>
      <c r="O63" s="53"/>
      <c r="P63" s="44"/>
      <c r="Q63" s="44"/>
      <c r="R63" s="44"/>
      <c r="S63" s="44"/>
      <c r="T63" s="44"/>
      <c r="U63" s="44"/>
      <c r="V63" s="44"/>
      <c r="W63" s="44"/>
      <c r="X63" s="44"/>
      <c r="Y63" s="53"/>
      <c r="Z63" s="53"/>
      <c r="AA63" s="53"/>
      <c r="AB63" s="54"/>
      <c r="AC63" s="55"/>
      <c r="AD63" s="55"/>
      <c r="AE63" s="55"/>
      <c r="AF63" s="79"/>
      <c r="AG63" s="55"/>
      <c r="AH63" s="55"/>
      <c r="AI63" s="55"/>
      <c r="AJ63" s="55"/>
      <c r="AK63" s="55"/>
      <c r="AL63" s="55"/>
      <c r="AM63" s="55"/>
      <c r="AN63" s="55"/>
      <c r="AO63" s="56"/>
      <c r="AP63" s="56"/>
      <c r="AQ63" s="56"/>
      <c r="AR63" s="56"/>
      <c r="AS63" s="56"/>
      <c r="AT63" s="56"/>
      <c r="AU63" s="56"/>
      <c r="AV63" s="53"/>
      <c r="AW63" s="56"/>
      <c r="AX63" s="56"/>
      <c r="AZ63" s="58"/>
      <c r="BA63" s="58"/>
      <c r="BB63" s="56"/>
      <c r="BC63" s="56"/>
      <c r="BD63" s="56"/>
      <c r="BE63" s="56"/>
      <c r="BF63" s="56"/>
      <c r="BG63" s="56"/>
      <c r="BH63" s="56"/>
      <c r="BI63" s="56"/>
      <c r="BJ63" s="56"/>
      <c r="BK63" s="56"/>
      <c r="BL63" s="56"/>
      <c r="BM63" s="56"/>
      <c r="BN63" s="56"/>
      <c r="BO63" s="56"/>
      <c r="BP63" s="56"/>
      <c r="BQ63" s="53"/>
      <c r="BR63" s="56"/>
      <c r="BS63" s="56"/>
      <c r="BU63" s="58"/>
      <c r="BV63" s="58"/>
      <c r="BW63" s="56"/>
      <c r="BX63" s="56"/>
      <c r="BY63" s="56"/>
      <c r="BZ63" s="56"/>
      <c r="CA63" s="56"/>
      <c r="CB63" s="56"/>
      <c r="CC63" s="56"/>
      <c r="CD63" s="56"/>
      <c r="CE63" s="56"/>
      <c r="CF63" s="56"/>
      <c r="CG63" s="56"/>
      <c r="CH63" s="56"/>
      <c r="CI63" s="56"/>
      <c r="CJ63" s="56"/>
      <c r="CK63" s="56"/>
    </row>
    <row r="64" spans="1:179" s="57" customFormat="1" ht="11.25" customHeight="1" x14ac:dyDescent="0.15">
      <c r="A64" s="54"/>
      <c r="B64" s="281"/>
      <c r="C64" s="54"/>
      <c r="D64" s="44"/>
      <c r="E64" s="44"/>
      <c r="F64" s="44"/>
      <c r="G64" s="44"/>
      <c r="H64" s="44"/>
      <c r="I64" s="44"/>
      <c r="J64" s="78"/>
      <c r="K64" s="44"/>
      <c r="L64" s="44"/>
      <c r="M64" s="44"/>
      <c r="N64" s="44"/>
      <c r="O64" s="53"/>
      <c r="P64" s="44"/>
      <c r="Q64" s="44"/>
      <c r="R64" s="44"/>
      <c r="S64" s="44"/>
      <c r="T64" s="44"/>
      <c r="U64" s="44"/>
      <c r="V64" s="44"/>
      <c r="W64" s="44"/>
      <c r="X64" s="44"/>
      <c r="Y64" s="53"/>
      <c r="Z64" s="53"/>
      <c r="AA64" s="53"/>
      <c r="AB64" s="54"/>
      <c r="AC64" s="55"/>
      <c r="AD64" s="55"/>
      <c r="AE64" s="55"/>
      <c r="AF64" s="79"/>
      <c r="AG64" s="55"/>
      <c r="AH64" s="55"/>
      <c r="AI64" s="55"/>
      <c r="AJ64" s="55"/>
      <c r="AK64" s="55"/>
      <c r="AL64" s="55"/>
      <c r="AM64" s="55"/>
      <c r="AN64" s="55"/>
      <c r="AO64" s="56"/>
      <c r="AP64" s="56"/>
      <c r="AQ64" s="56"/>
      <c r="AR64" s="56"/>
      <c r="AS64" s="56"/>
      <c r="AT64" s="56"/>
      <c r="AU64" s="56"/>
      <c r="AV64" s="53"/>
      <c r="AW64" s="56"/>
      <c r="AX64" s="56"/>
      <c r="AZ64" s="58"/>
      <c r="BA64" s="58"/>
      <c r="BB64" s="56"/>
      <c r="BC64" s="56"/>
      <c r="BD64" s="56"/>
      <c r="BE64" s="56"/>
      <c r="BF64" s="56"/>
      <c r="BG64" s="56"/>
      <c r="BH64" s="56"/>
      <c r="BI64" s="56"/>
      <c r="BJ64" s="56"/>
      <c r="BK64" s="56"/>
      <c r="BL64" s="56"/>
      <c r="BM64" s="56"/>
      <c r="BN64" s="56"/>
      <c r="BO64" s="56"/>
      <c r="BP64" s="56"/>
      <c r="BQ64" s="53"/>
      <c r="BR64" s="56"/>
      <c r="BS64" s="56"/>
      <c r="BU64" s="58"/>
      <c r="BV64" s="58"/>
      <c r="BW64" s="56"/>
      <c r="BX64" s="56"/>
      <c r="BY64" s="56"/>
      <c r="BZ64" s="56"/>
      <c r="CA64" s="56"/>
      <c r="CB64" s="56"/>
      <c r="CC64" s="56"/>
      <c r="CD64" s="56"/>
      <c r="CE64" s="56"/>
      <c r="CF64" s="56"/>
      <c r="CG64" s="56"/>
      <c r="CH64" s="56"/>
      <c r="CI64" s="56"/>
      <c r="CJ64" s="56"/>
      <c r="CK64" s="56"/>
    </row>
    <row r="65" spans="1:89" x14ac:dyDescent="0.2">
      <c r="A65" s="54"/>
      <c r="B65" s="54"/>
      <c r="C65" s="54"/>
      <c r="J65" s="80" t="s">
        <v>40</v>
      </c>
      <c r="O65" s="81"/>
      <c r="Y65" s="81"/>
      <c r="Z65" s="81"/>
      <c r="AA65" s="81"/>
      <c r="AB65" s="82"/>
      <c r="AC65" s="83"/>
      <c r="AD65" s="83"/>
      <c r="AE65" s="83"/>
      <c r="AF65" s="83"/>
      <c r="AG65" s="83"/>
      <c r="AH65" s="83"/>
      <c r="AI65" s="83"/>
      <c r="AJ65" s="83"/>
      <c r="AK65" s="83"/>
      <c r="AL65" s="83"/>
      <c r="AM65" s="83"/>
      <c r="AN65" s="83"/>
      <c r="AV65" s="81"/>
      <c r="BQ65" s="81"/>
    </row>
    <row r="66" spans="1:89" s="57" customFormat="1" ht="11.25" customHeight="1" x14ac:dyDescent="0.15">
      <c r="A66" s="54"/>
      <c r="B66" s="54"/>
      <c r="C66" s="54"/>
      <c r="D66" s="44"/>
      <c r="E66" s="44"/>
      <c r="F66" s="44"/>
      <c r="G66" s="44"/>
      <c r="H66" s="44"/>
      <c r="I66" s="44"/>
      <c r="J66" s="64" t="s">
        <v>40</v>
      </c>
      <c r="K66" s="44"/>
      <c r="L66" s="44"/>
      <c r="M66" s="44"/>
      <c r="N66" s="44"/>
      <c r="O66" s="65"/>
      <c r="P66" s="44"/>
      <c r="Q66" s="44"/>
      <c r="R66" s="44"/>
      <c r="S66" s="44"/>
      <c r="T66" s="44"/>
      <c r="U66" s="44"/>
      <c r="V66" s="44"/>
      <c r="W66" s="44"/>
      <c r="X66" s="44"/>
      <c r="Y66" s="65"/>
      <c r="Z66" s="65"/>
      <c r="AA66" s="65"/>
      <c r="AB66" s="55"/>
      <c r="AC66" s="55"/>
      <c r="AD66" s="55"/>
      <c r="AE66" s="55"/>
      <c r="AF66" s="55"/>
      <c r="AG66" s="55"/>
      <c r="AH66" s="55"/>
      <c r="AI66" s="55"/>
      <c r="AJ66" s="55"/>
      <c r="AK66" s="55"/>
      <c r="AL66" s="55"/>
      <c r="AM66" s="55"/>
      <c r="AN66" s="55"/>
      <c r="AV66" s="65"/>
      <c r="AY66" s="74"/>
      <c r="BQ66" s="65"/>
      <c r="BT66" s="74"/>
    </row>
    <row r="67" spans="1:89" s="57" customFormat="1" ht="11.25" customHeight="1" x14ac:dyDescent="0.15">
      <c r="A67" s="54"/>
      <c r="B67" s="54"/>
      <c r="C67" s="54"/>
      <c r="D67" s="44"/>
      <c r="E67" s="44"/>
      <c r="F67" s="44"/>
      <c r="G67" s="44"/>
      <c r="H67" s="44"/>
      <c r="I67" s="44"/>
      <c r="J67" s="64" t="s">
        <v>40</v>
      </c>
      <c r="K67" s="44"/>
      <c r="L67" s="44"/>
      <c r="M67" s="44"/>
      <c r="N67" s="44"/>
      <c r="O67" s="65"/>
      <c r="P67" s="44"/>
      <c r="Q67" s="44"/>
      <c r="R67" s="44"/>
      <c r="S67" s="44"/>
      <c r="T67" s="44"/>
      <c r="U67" s="44"/>
      <c r="V67" s="44"/>
      <c r="W67" s="44"/>
      <c r="X67" s="44"/>
      <c r="Y67" s="65"/>
      <c r="Z67" s="65"/>
      <c r="AA67" s="65"/>
      <c r="AB67" s="55"/>
      <c r="AC67" s="55"/>
      <c r="AD67" s="55"/>
      <c r="AE67" s="55"/>
      <c r="AF67" s="55"/>
      <c r="AG67" s="55"/>
      <c r="AH67" s="55"/>
      <c r="AI67" s="55"/>
      <c r="AJ67" s="55"/>
      <c r="AK67" s="55"/>
      <c r="AL67" s="55"/>
      <c r="AM67" s="55"/>
      <c r="AN67" s="55"/>
      <c r="AV67" s="65"/>
      <c r="BQ67" s="65"/>
    </row>
    <row r="68" spans="1:89" s="57" customFormat="1" ht="11.25" customHeight="1" x14ac:dyDescent="0.15">
      <c r="A68" s="54"/>
      <c r="B68" s="281"/>
      <c r="C68" s="54"/>
      <c r="D68" s="44"/>
      <c r="E68" s="44"/>
      <c r="F68" s="44"/>
      <c r="G68" s="44"/>
      <c r="H68" s="44"/>
      <c r="I68" s="44"/>
      <c r="J68" s="64"/>
      <c r="K68" s="44"/>
      <c r="L68" s="44"/>
      <c r="M68" s="44"/>
      <c r="N68" s="44"/>
      <c r="O68" s="65"/>
      <c r="P68" s="44"/>
      <c r="Q68" s="44"/>
      <c r="R68" s="44"/>
      <c r="S68" s="44"/>
      <c r="T68" s="44"/>
      <c r="U68" s="44"/>
      <c r="V68" s="44"/>
      <c r="W68" s="44"/>
      <c r="X68" s="44"/>
      <c r="Y68" s="65"/>
      <c r="Z68" s="65"/>
      <c r="AA68" s="65"/>
      <c r="AB68" s="55"/>
      <c r="AC68" s="55"/>
      <c r="AD68" s="55"/>
      <c r="AE68" s="55"/>
      <c r="AF68" s="55"/>
      <c r="AG68" s="55"/>
      <c r="AH68" s="55"/>
      <c r="AI68" s="55"/>
      <c r="AJ68" s="55"/>
      <c r="AK68" s="55"/>
      <c r="AL68" s="55"/>
      <c r="AM68" s="55"/>
      <c r="AN68" s="55"/>
      <c r="AV68" s="65"/>
      <c r="BQ68" s="65"/>
    </row>
    <row r="69" spans="1:89" s="57" customFormat="1" ht="11.25" customHeight="1" x14ac:dyDescent="0.15">
      <c r="A69" s="54"/>
      <c r="B69" s="54"/>
      <c r="C69" s="54"/>
      <c r="D69" s="44"/>
      <c r="E69" s="44"/>
      <c r="F69" s="44"/>
      <c r="G69" s="44"/>
      <c r="H69" s="44"/>
      <c r="I69" s="44"/>
      <c r="J69" s="78"/>
      <c r="K69" s="44"/>
      <c r="L69" s="44"/>
      <c r="M69" s="44"/>
      <c r="N69" s="44"/>
      <c r="O69" s="53"/>
      <c r="P69" s="44"/>
      <c r="Q69" s="44"/>
      <c r="R69" s="44"/>
      <c r="S69" s="44"/>
      <c r="T69" s="44"/>
      <c r="U69" s="44"/>
      <c r="V69" s="44"/>
      <c r="W69" s="44"/>
      <c r="X69" s="44"/>
      <c r="Y69" s="53"/>
      <c r="Z69" s="53"/>
      <c r="AA69" s="53"/>
      <c r="AB69" s="54"/>
      <c r="AC69" s="55"/>
      <c r="AD69" s="55"/>
      <c r="AE69" s="55"/>
      <c r="AF69" s="79"/>
      <c r="AG69" s="55"/>
      <c r="AH69" s="55"/>
      <c r="AI69" s="55"/>
      <c r="AJ69" s="55"/>
      <c r="AK69" s="55"/>
      <c r="AL69" s="55"/>
      <c r="AM69" s="55"/>
      <c r="AN69" s="55"/>
      <c r="AO69" s="56"/>
      <c r="AP69" s="56"/>
      <c r="AQ69" s="56"/>
      <c r="AR69" s="56"/>
      <c r="AS69" s="56"/>
      <c r="AT69" s="56"/>
      <c r="AU69" s="56"/>
      <c r="AV69" s="53"/>
      <c r="AW69" s="56"/>
      <c r="AX69" s="56"/>
      <c r="AZ69" s="58"/>
      <c r="BA69" s="58"/>
      <c r="BB69" s="56"/>
      <c r="BC69" s="56"/>
      <c r="BD69" s="56"/>
      <c r="BE69" s="56"/>
      <c r="BF69" s="56"/>
      <c r="BG69" s="56"/>
      <c r="BH69" s="56"/>
      <c r="BI69" s="56"/>
      <c r="BJ69" s="56"/>
      <c r="BK69" s="56"/>
      <c r="BL69" s="56"/>
      <c r="BM69" s="56"/>
      <c r="BN69" s="56"/>
      <c r="BO69" s="56"/>
      <c r="BP69" s="56"/>
      <c r="BQ69" s="53"/>
      <c r="BR69" s="56"/>
      <c r="BS69" s="56"/>
      <c r="BU69" s="58"/>
      <c r="BV69" s="58"/>
      <c r="BW69" s="56"/>
      <c r="BX69" s="56"/>
      <c r="BY69" s="56"/>
      <c r="BZ69" s="56"/>
      <c r="CA69" s="56"/>
      <c r="CB69" s="56"/>
      <c r="CC69" s="56"/>
      <c r="CD69" s="56"/>
      <c r="CE69" s="56"/>
      <c r="CF69" s="56"/>
      <c r="CG69" s="56"/>
      <c r="CH69" s="56"/>
      <c r="CI69" s="56"/>
      <c r="CJ69" s="56"/>
      <c r="CK69" s="56"/>
    </row>
    <row r="70" spans="1:89" s="57" customFormat="1" ht="11.25" customHeight="1" x14ac:dyDescent="0.15">
      <c r="A70" s="86"/>
      <c r="B70" s="54"/>
      <c r="C70" s="54"/>
      <c r="D70" s="44"/>
      <c r="E70" s="44"/>
      <c r="F70" s="44"/>
      <c r="G70" s="44"/>
      <c r="H70" s="44"/>
      <c r="I70" s="44"/>
      <c r="J70" s="78"/>
      <c r="K70" s="44"/>
      <c r="L70" s="44"/>
      <c r="M70" s="44"/>
      <c r="N70" s="44"/>
      <c r="O70" s="53"/>
      <c r="P70" s="44"/>
      <c r="Q70" s="44"/>
      <c r="R70" s="44"/>
      <c r="S70" s="44"/>
      <c r="T70" s="44"/>
      <c r="U70" s="44"/>
      <c r="V70" s="44"/>
      <c r="W70" s="44"/>
      <c r="X70" s="44"/>
      <c r="Y70" s="53"/>
      <c r="Z70" s="53"/>
      <c r="AA70" s="53"/>
      <c r="AB70" s="54"/>
      <c r="AC70" s="55"/>
      <c r="AD70" s="55"/>
      <c r="AE70" s="55"/>
      <c r="AF70" s="79"/>
      <c r="AG70" s="55"/>
      <c r="AH70" s="55"/>
      <c r="AI70" s="55"/>
      <c r="AJ70" s="55"/>
      <c r="AK70" s="55"/>
      <c r="AL70" s="55"/>
      <c r="AM70" s="55"/>
      <c r="AN70" s="55"/>
      <c r="AO70" s="56"/>
      <c r="AP70" s="56"/>
      <c r="AQ70" s="56"/>
      <c r="AR70" s="56"/>
      <c r="AS70" s="56"/>
      <c r="AT70" s="56"/>
      <c r="AU70" s="56"/>
      <c r="AV70" s="53"/>
      <c r="AW70" s="56"/>
      <c r="AX70" s="56"/>
      <c r="AZ70" s="58"/>
      <c r="BA70" s="58"/>
      <c r="BB70" s="56"/>
      <c r="BC70" s="56"/>
      <c r="BD70" s="56"/>
      <c r="BE70" s="56"/>
      <c r="BF70" s="56"/>
      <c r="BG70" s="56"/>
      <c r="BH70" s="56"/>
      <c r="BI70" s="56"/>
      <c r="BJ70" s="56"/>
      <c r="BK70" s="56"/>
      <c r="BL70" s="56"/>
      <c r="BM70" s="56"/>
      <c r="BN70" s="56"/>
      <c r="BO70" s="56"/>
      <c r="BP70" s="56"/>
      <c r="BQ70" s="53"/>
      <c r="BR70" s="56"/>
      <c r="BS70" s="56"/>
      <c r="BU70" s="58"/>
      <c r="BV70" s="58"/>
      <c r="BW70" s="56"/>
      <c r="BX70" s="56"/>
      <c r="BY70" s="56"/>
      <c r="BZ70" s="56"/>
      <c r="CA70" s="56"/>
      <c r="CB70" s="56"/>
      <c r="CC70" s="56"/>
      <c r="CD70" s="56"/>
      <c r="CE70" s="56"/>
      <c r="CF70" s="56"/>
      <c r="CG70" s="56"/>
      <c r="CH70" s="56"/>
      <c r="CI70" s="56"/>
      <c r="CJ70" s="56"/>
      <c r="CK70" s="56"/>
    </row>
    <row r="71" spans="1:89" s="57" customFormat="1" ht="11.25" customHeight="1" x14ac:dyDescent="0.15">
      <c r="A71" s="282"/>
      <c r="B71" s="54"/>
      <c r="C71" s="54"/>
      <c r="D71" s="44"/>
      <c r="E71" s="44"/>
      <c r="F71" s="44"/>
      <c r="G71" s="44"/>
      <c r="H71" s="44"/>
      <c r="I71" s="44"/>
      <c r="J71" s="64" t="s">
        <v>40</v>
      </c>
      <c r="K71" s="44"/>
      <c r="L71" s="44"/>
      <c r="M71" s="44"/>
      <c r="N71" s="44"/>
      <c r="O71" s="65"/>
      <c r="P71" s="44"/>
      <c r="Q71" s="44"/>
      <c r="R71" s="44"/>
      <c r="S71" s="44"/>
      <c r="T71" s="44"/>
      <c r="U71" s="44"/>
      <c r="V71" s="44"/>
      <c r="W71" s="44"/>
      <c r="X71" s="44"/>
      <c r="Y71" s="65"/>
      <c r="Z71" s="65"/>
      <c r="AA71" s="65"/>
      <c r="AB71" s="55"/>
      <c r="AC71" s="55"/>
      <c r="AD71" s="73"/>
      <c r="AE71" s="55"/>
      <c r="AF71" s="55"/>
      <c r="AG71" s="55"/>
      <c r="AH71" s="55"/>
      <c r="AI71" s="55"/>
      <c r="AJ71" s="55"/>
      <c r="AK71" s="55"/>
      <c r="AL71" s="55"/>
      <c r="AM71" s="55"/>
      <c r="AN71" s="55"/>
      <c r="AV71" s="65"/>
      <c r="BQ71" s="65"/>
    </row>
    <row r="72" spans="1:89" x14ac:dyDescent="0.2">
      <c r="A72" s="283"/>
      <c r="B72" s="56"/>
      <c r="C72" s="56"/>
      <c r="J72" s="80" t="s">
        <v>40</v>
      </c>
      <c r="O72" s="81"/>
      <c r="Y72" s="81"/>
      <c r="Z72" s="81"/>
      <c r="AA72" s="81"/>
      <c r="AV72" s="81"/>
      <c r="BQ72" s="81"/>
    </row>
    <row r="73" spans="1:89" x14ac:dyDescent="0.2">
      <c r="A73" s="54"/>
      <c r="B73" s="54"/>
      <c r="C73" s="280"/>
      <c r="J73" s="80" t="s">
        <v>40</v>
      </c>
      <c r="O73" s="81"/>
      <c r="Y73" s="81"/>
      <c r="Z73" s="81"/>
      <c r="AA73" s="81"/>
      <c r="AB73" s="83"/>
      <c r="AC73" s="83"/>
      <c r="AD73" s="83"/>
      <c r="AE73" s="83"/>
      <c r="AF73" s="83"/>
      <c r="AG73" s="83"/>
      <c r="AH73" s="83"/>
      <c r="AI73" s="83"/>
      <c r="AJ73" s="83"/>
      <c r="AK73" s="83"/>
      <c r="AL73" s="83"/>
      <c r="AM73" s="83"/>
      <c r="AN73" s="83"/>
      <c r="AV73" s="81"/>
      <c r="BQ73" s="81"/>
    </row>
    <row r="74" spans="1:89" x14ac:dyDescent="0.2">
      <c r="A74" s="54"/>
      <c r="B74" s="56"/>
      <c r="C74" s="54"/>
      <c r="J74" s="80" t="s">
        <v>40</v>
      </c>
      <c r="O74" s="81"/>
      <c r="Y74" s="81"/>
      <c r="Z74" s="81"/>
      <c r="AA74" s="81"/>
      <c r="AB74" s="83"/>
      <c r="AC74" s="83"/>
      <c r="AD74" s="83"/>
      <c r="AV74" s="81"/>
      <c r="BQ74" s="81"/>
    </row>
    <row r="75" spans="1:89" x14ac:dyDescent="0.2">
      <c r="A75" s="54"/>
      <c r="B75" s="56"/>
      <c r="C75" s="54"/>
      <c r="J75" s="80"/>
      <c r="O75" s="81"/>
      <c r="Y75" s="81"/>
      <c r="Z75" s="81"/>
      <c r="AA75" s="81"/>
      <c r="AB75" s="83"/>
      <c r="AC75" s="83"/>
      <c r="AD75" s="83"/>
      <c r="AV75" s="81"/>
      <c r="BQ75" s="81"/>
    </row>
    <row r="76" spans="1:89" x14ac:dyDescent="0.2">
      <c r="A76" s="43"/>
      <c r="B76" s="44"/>
      <c r="C76" s="44"/>
      <c r="J76" s="64" t="s">
        <v>40</v>
      </c>
      <c r="O76" s="84"/>
      <c r="Y76" s="84"/>
      <c r="Z76" s="84"/>
      <c r="AA76" s="84"/>
      <c r="AV76" s="84"/>
      <c r="BQ76" s="84"/>
    </row>
    <row r="77" spans="1:89" s="57" customFormat="1" ht="11.25" customHeight="1" x14ac:dyDescent="0.15">
      <c r="A77" s="282"/>
      <c r="B77" s="54"/>
      <c r="C77" s="54"/>
      <c r="D77" s="44"/>
      <c r="E77" s="44"/>
      <c r="F77" s="44"/>
      <c r="G77" s="44"/>
      <c r="H77" s="44"/>
      <c r="I77" s="44"/>
      <c r="J77" s="64" t="s">
        <v>40</v>
      </c>
      <c r="K77" s="44"/>
      <c r="L77" s="44"/>
      <c r="M77" s="44"/>
      <c r="N77" s="44"/>
      <c r="O77" s="72"/>
      <c r="P77" s="44"/>
      <c r="Q77" s="44"/>
      <c r="R77" s="44"/>
      <c r="S77" s="44"/>
      <c r="T77" s="44"/>
      <c r="U77" s="44"/>
      <c r="V77" s="44"/>
      <c r="W77" s="44"/>
      <c r="X77" s="44"/>
      <c r="Y77" s="72"/>
      <c r="Z77" s="72"/>
      <c r="AA77" s="72"/>
      <c r="AB77" s="55"/>
      <c r="AC77" s="55"/>
      <c r="AD77" s="55"/>
      <c r="AE77" s="55"/>
      <c r="AF77" s="55"/>
      <c r="AG77" s="55"/>
      <c r="AH77" s="55"/>
      <c r="AI77" s="55"/>
      <c r="AJ77" s="55"/>
      <c r="AK77" s="55"/>
      <c r="AL77" s="55"/>
      <c r="AM77" s="55"/>
      <c r="AN77" s="55"/>
      <c r="AV77" s="72"/>
      <c r="BQ77" s="72"/>
    </row>
    <row r="78" spans="1:89" x14ac:dyDescent="0.2">
      <c r="B78" s="44"/>
      <c r="C78" s="44"/>
      <c r="J78" s="78" t="s">
        <v>40</v>
      </c>
      <c r="O78" s="81"/>
      <c r="Y78" s="81"/>
      <c r="Z78" s="81"/>
      <c r="AA78" s="81"/>
      <c r="AV78" s="81"/>
      <c r="BQ78" s="81"/>
    </row>
    <row r="79" spans="1:89" x14ac:dyDescent="0.2">
      <c r="J79" s="64" t="s">
        <v>40</v>
      </c>
      <c r="O79" s="81"/>
      <c r="Y79" s="81"/>
      <c r="Z79" s="81"/>
      <c r="AA79" s="81"/>
      <c r="AV79" s="81"/>
      <c r="BQ79" s="81"/>
    </row>
    <row r="80" spans="1:89" x14ac:dyDescent="0.2">
      <c r="J80" s="64" t="s">
        <v>40</v>
      </c>
      <c r="O80" s="85"/>
      <c r="Y80" s="85"/>
      <c r="Z80" s="85"/>
      <c r="AA80" s="85"/>
      <c r="AV80" s="85"/>
      <c r="BQ80" s="85"/>
    </row>
    <row r="81" spans="1:69" x14ac:dyDescent="0.2">
      <c r="J81" s="64" t="s">
        <v>40</v>
      </c>
      <c r="L81" s="43"/>
      <c r="M81" s="43" t="s">
        <v>53</v>
      </c>
      <c r="O81" s="81"/>
      <c r="Y81" s="81"/>
      <c r="Z81" s="81"/>
      <c r="AA81" s="81"/>
      <c r="AV81" s="81"/>
      <c r="BQ81" s="81"/>
    </row>
    <row r="82" spans="1:69" x14ac:dyDescent="0.2">
      <c r="J82" s="64" t="s">
        <v>40</v>
      </c>
    </row>
    <row r="83" spans="1:69" x14ac:dyDescent="0.2">
      <c r="J83" s="64" t="s">
        <v>40</v>
      </c>
    </row>
    <row r="84" spans="1:69" x14ac:dyDescent="0.2">
      <c r="C84" s="43" t="s">
        <v>240</v>
      </c>
      <c r="J84" s="78" t="s">
        <v>40</v>
      </c>
      <c r="M84" s="43" t="s">
        <v>241</v>
      </c>
    </row>
    <row r="85" spans="1:69" x14ac:dyDescent="0.2">
      <c r="J85" s="64" t="s">
        <v>40</v>
      </c>
    </row>
    <row r="86" spans="1:69" x14ac:dyDescent="0.2">
      <c r="J86" s="64" t="s">
        <v>40</v>
      </c>
    </row>
    <row r="87" spans="1:69" x14ac:dyDescent="0.2">
      <c r="J87" s="64" t="s">
        <v>40</v>
      </c>
    </row>
    <row r="88" spans="1:69" x14ac:dyDescent="0.2">
      <c r="A88" s="43"/>
      <c r="J88" s="64" t="s">
        <v>40</v>
      </c>
    </row>
    <row r="89" spans="1:69" x14ac:dyDescent="0.2">
      <c r="J89" s="64" t="s">
        <v>40</v>
      </c>
    </row>
    <row r="90" spans="1:69" x14ac:dyDescent="0.2">
      <c r="J90" s="64" t="s">
        <v>40</v>
      </c>
    </row>
    <row r="91" spans="1:69" x14ac:dyDescent="0.2">
      <c r="J91" s="64" t="s">
        <v>40</v>
      </c>
    </row>
    <row r="92" spans="1:69" x14ac:dyDescent="0.2">
      <c r="J92" s="64" t="s">
        <v>40</v>
      </c>
    </row>
    <row r="93" spans="1:69" x14ac:dyDescent="0.2">
      <c r="J93" s="64" t="s">
        <v>40</v>
      </c>
    </row>
    <row r="94" spans="1:69" x14ac:dyDescent="0.2">
      <c r="J94" s="80" t="s">
        <v>40</v>
      </c>
      <c r="O94" s="43"/>
      <c r="Y94" s="86"/>
      <c r="Z94" s="43"/>
      <c r="AA94" s="86"/>
      <c r="AV94" s="86"/>
      <c r="BQ94" s="86"/>
    </row>
    <row r="95" spans="1:69" x14ac:dyDescent="0.2">
      <c r="J95" s="80" t="s">
        <v>40</v>
      </c>
    </row>
    <row r="96" spans="1:69" x14ac:dyDescent="0.2">
      <c r="J96" s="80"/>
    </row>
    <row r="97" spans="3:69" x14ac:dyDescent="0.2">
      <c r="J97" s="80"/>
    </row>
    <row r="104" spans="3:69" ht="14.25" x14ac:dyDescent="0.2">
      <c r="J104" s="39"/>
      <c r="O104" s="87"/>
      <c r="Y104" s="89"/>
      <c r="Z104" s="41"/>
      <c r="AA104" s="89"/>
      <c r="AB104" s="41"/>
      <c r="AC104" s="41"/>
      <c r="AD104" s="41"/>
      <c r="AV104" s="89"/>
      <c r="BQ104" s="89"/>
    </row>
    <row r="112" spans="3:69" x14ac:dyDescent="0.2">
      <c r="C112" s="43" t="s">
        <v>173</v>
      </c>
    </row>
    <row r="170" spans="12:16" x14ac:dyDescent="0.2">
      <c r="L170" s="44" t="s">
        <v>11</v>
      </c>
      <c r="M170" s="44" t="s">
        <v>12</v>
      </c>
      <c r="N170" s="44">
        <v>2021</v>
      </c>
      <c r="P170" s="44">
        <v>2023</v>
      </c>
    </row>
    <row r="175" spans="12:16" x14ac:dyDescent="0.2">
      <c r="L175" s="43" t="s">
        <v>54</v>
      </c>
    </row>
    <row r="178" spans="12:12" x14ac:dyDescent="0.2">
      <c r="L178" s="43" t="s">
        <v>174</v>
      </c>
    </row>
    <row r="260" spans="2:16" x14ac:dyDescent="0.2">
      <c r="B260" s="44" t="s">
        <v>9</v>
      </c>
      <c r="C260" s="44" t="s">
        <v>8</v>
      </c>
      <c r="D260" s="44" t="s">
        <v>11</v>
      </c>
      <c r="E260" s="44" t="s">
        <v>12</v>
      </c>
      <c r="F260" s="44" t="s">
        <v>188</v>
      </c>
      <c r="G260" s="44" t="s">
        <v>189</v>
      </c>
      <c r="H260" s="44" t="s">
        <v>190</v>
      </c>
      <c r="I260" s="44" t="s">
        <v>187</v>
      </c>
      <c r="J260" s="44" t="s">
        <v>234</v>
      </c>
      <c r="K260" s="44" t="s">
        <v>235</v>
      </c>
      <c r="L260" s="44" t="s">
        <v>236</v>
      </c>
      <c r="M260" s="44" t="s">
        <v>237</v>
      </c>
      <c r="N260" s="44">
        <v>2023</v>
      </c>
      <c r="O260" s="44">
        <v>2024</v>
      </c>
      <c r="P260" s="44">
        <v>2025</v>
      </c>
    </row>
  </sheetData>
  <mergeCells count="13">
    <mergeCell ref="P1:S1"/>
    <mergeCell ref="B2:C2"/>
    <mergeCell ref="D2:E2"/>
    <mergeCell ref="A1:A2"/>
    <mergeCell ref="B1:C1"/>
    <mergeCell ref="D1:E1"/>
    <mergeCell ref="F1:I1"/>
    <mergeCell ref="K1:N1"/>
    <mergeCell ref="V2:X2"/>
    <mergeCell ref="D4:E4"/>
    <mergeCell ref="D5:E5"/>
    <mergeCell ref="B29:C29"/>
    <mergeCell ref="D29:E29"/>
  </mergeCells>
  <conditionalFormatting sqref="AB49:AD49 AG49:AI49 AL49:AN49 AQ49:AS49 BB49:BD49 BG49:BI49 BL49:BN49 BR49:BT49 BW49:BY49 CB49:CD49 CG49:CI49 U49:X49">
    <cfRule type="cellIs" dxfId="39" priority="7" operator="lessThan">
      <formula>0</formula>
    </cfRule>
    <cfRule type="cellIs" dxfId="38" priority="8" operator="greaterThan">
      <formula>0</formula>
    </cfRule>
  </conditionalFormatting>
  <conditionalFormatting sqref="AB49:AD49 AG49:AI49 AL49:AN49 AQ49:AS49 BB49:BD49 BG49:BI49 BL49:BN49 BR49:BT49 BW49:BY49 CB49:CD49 CG49:CI49 AW49:AY49">
    <cfRule type="cellIs" dxfId="37" priority="5" operator="lessThan">
      <formula>0</formula>
    </cfRule>
    <cfRule type="cellIs" dxfId="36" priority="6" operator="greaterThan">
      <formula>0</formula>
    </cfRule>
  </conditionalFormatting>
  <conditionalFormatting sqref="F49:I49 K49:N49 P49:S49">
    <cfRule type="cellIs" dxfId="35" priority="3" operator="lessThan">
      <formula>0</formula>
    </cfRule>
    <cfRule type="cellIs" dxfId="34" priority="4" operator="greaterThan">
      <formula>0</formula>
    </cfRule>
  </conditionalFormatting>
  <conditionalFormatting sqref="F49:I49 K49:N49 P49:S49">
    <cfRule type="cellIs" dxfId="33" priority="1" operator="lessThan">
      <formula>0</formula>
    </cfRule>
    <cfRule type="cellIs" dxfId="32" priority="2" operator="greaterThan">
      <formula>0</formula>
    </cfRule>
  </conditionalFormatting>
  <pageMargins left="0.78740157499999996" right="0.78740157499999996" top="0.984251969" bottom="0.984251969" header="0.4921259845" footer="0.4921259845"/>
  <pageSetup paperSize="9" scale="61" orientation="landscape"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V90"/>
  <sheetViews>
    <sheetView zoomScaleNormal="100" workbookViewId="0">
      <selection activeCell="B106" sqref="B106"/>
    </sheetView>
  </sheetViews>
  <sheetFormatPr baseColWidth="10" defaultRowHeight="12.75" x14ac:dyDescent="0.2"/>
  <cols>
    <col min="1" max="1" width="3" style="41" customWidth="1"/>
    <col min="2" max="2" width="11.42578125" style="41"/>
    <col min="3" max="3" width="9.28515625" style="41" customWidth="1"/>
    <col min="4" max="4" width="6.42578125" style="301" customWidth="1"/>
    <col min="5" max="5" width="9.28515625" style="41" customWidth="1"/>
    <col min="6" max="6" width="6.42578125" style="301" customWidth="1"/>
    <col min="7" max="7" width="9.28515625" style="41" customWidth="1"/>
    <col min="8" max="8" width="6.42578125" style="301" customWidth="1"/>
    <col min="9" max="9" width="9.28515625" style="41" customWidth="1"/>
    <col min="10" max="10" width="6.42578125" style="301" customWidth="1"/>
    <col min="11" max="11" width="9.28515625" style="41" customWidth="1"/>
    <col min="12" max="12" width="6.42578125" style="301" customWidth="1"/>
    <col min="13" max="13" width="9.28515625" style="41" customWidth="1"/>
    <col min="14" max="14" width="6.42578125" style="301" customWidth="1"/>
    <col min="15" max="15" width="9.28515625" style="41" customWidth="1"/>
    <col min="16" max="16" width="6.42578125" style="302" customWidth="1"/>
    <col min="17" max="17" width="9.28515625" style="41" customWidth="1"/>
    <col min="18" max="18" width="6.42578125" style="302" customWidth="1"/>
    <col min="19" max="19" width="9.28515625" style="302" customWidth="1"/>
    <col min="20" max="20" width="6.42578125" style="302" customWidth="1"/>
    <col min="21" max="21" width="9.28515625" style="302" customWidth="1"/>
    <col min="22" max="22" width="6.42578125" style="302" customWidth="1"/>
    <col min="23" max="23" width="9.28515625" style="302" customWidth="1"/>
    <col min="24" max="24" width="6.42578125" style="302" customWidth="1"/>
    <col min="25" max="25" width="9.28515625" style="302" customWidth="1"/>
    <col min="26" max="26" width="6.42578125" style="302" customWidth="1"/>
    <col min="27" max="27" width="9.28515625" style="41" customWidth="1"/>
    <col min="28" max="28" width="6.42578125" style="41" customWidth="1"/>
    <col min="29" max="16384" width="11.42578125" style="41"/>
  </cols>
  <sheetData>
    <row r="1" spans="2:48" ht="15" customHeight="1" thickBot="1" x14ac:dyDescent="0.25">
      <c r="Y1" s="303"/>
    </row>
    <row r="2" spans="2:48" ht="15" customHeight="1" x14ac:dyDescent="0.25">
      <c r="B2" s="701" t="s">
        <v>107</v>
      </c>
      <c r="C2" s="719" t="s">
        <v>19</v>
      </c>
      <c r="D2" s="720"/>
      <c r="E2" s="723" t="s">
        <v>20</v>
      </c>
      <c r="F2" s="724"/>
      <c r="G2" s="727" t="s">
        <v>24</v>
      </c>
      <c r="H2" s="728"/>
      <c r="I2" s="731" t="s">
        <v>21</v>
      </c>
      <c r="J2" s="732"/>
      <c r="K2" s="739" t="s">
        <v>23</v>
      </c>
      <c r="L2" s="740"/>
      <c r="M2" s="743" t="s">
        <v>22</v>
      </c>
      <c r="N2" s="744"/>
      <c r="O2" s="749" t="s">
        <v>37</v>
      </c>
      <c r="P2" s="750"/>
      <c r="Q2" s="747" t="s">
        <v>37</v>
      </c>
      <c r="R2" s="748"/>
      <c r="S2" s="703" t="s">
        <v>37</v>
      </c>
      <c r="T2" s="704"/>
      <c r="U2" s="705" t="s">
        <v>37</v>
      </c>
      <c r="V2" s="706"/>
      <c r="W2" s="707" t="s">
        <v>37</v>
      </c>
      <c r="X2" s="708"/>
      <c r="Y2" s="709" t="s">
        <v>37</v>
      </c>
      <c r="Z2" s="710"/>
      <c r="AA2" s="751" t="s">
        <v>37</v>
      </c>
      <c r="AB2" s="752"/>
      <c r="AD2" s="304"/>
      <c r="AE2" s="304"/>
      <c r="AF2" s="304"/>
      <c r="AG2" s="304"/>
      <c r="AH2" s="304"/>
      <c r="AI2" s="46"/>
      <c r="AJ2" s="46"/>
      <c r="AK2" s="46"/>
      <c r="AL2" s="46"/>
      <c r="AM2" s="46"/>
      <c r="AN2" s="46"/>
      <c r="AO2" s="46"/>
      <c r="AP2" s="46"/>
      <c r="AQ2" s="46"/>
      <c r="AR2" s="46"/>
      <c r="AS2" s="46"/>
      <c r="AT2" s="46"/>
      <c r="AU2" s="46"/>
      <c r="AV2" s="46"/>
    </row>
    <row r="3" spans="2:48" ht="15" customHeight="1" thickBot="1" x14ac:dyDescent="0.3">
      <c r="B3" s="702"/>
      <c r="C3" s="721"/>
      <c r="D3" s="722"/>
      <c r="E3" s="725"/>
      <c r="F3" s="726"/>
      <c r="G3" s="729"/>
      <c r="H3" s="730"/>
      <c r="I3" s="733"/>
      <c r="J3" s="734"/>
      <c r="K3" s="741"/>
      <c r="L3" s="742"/>
      <c r="M3" s="745"/>
      <c r="N3" s="746"/>
      <c r="O3" s="735" t="s">
        <v>108</v>
      </c>
      <c r="P3" s="736"/>
      <c r="Q3" s="737" t="s">
        <v>109</v>
      </c>
      <c r="R3" s="738"/>
      <c r="S3" s="711" t="s">
        <v>113</v>
      </c>
      <c r="T3" s="712"/>
      <c r="U3" s="713" t="s">
        <v>110</v>
      </c>
      <c r="V3" s="714"/>
      <c r="W3" s="715" t="s">
        <v>111</v>
      </c>
      <c r="X3" s="716"/>
      <c r="Y3" s="717" t="s">
        <v>45</v>
      </c>
      <c r="Z3" s="718"/>
      <c r="AA3" s="753" t="s">
        <v>112</v>
      </c>
      <c r="AB3" s="754"/>
      <c r="AD3" s="304"/>
      <c r="AE3" s="304"/>
      <c r="AF3" s="304"/>
      <c r="AG3" s="304"/>
      <c r="AH3" s="304"/>
      <c r="AI3" s="46"/>
      <c r="AJ3" s="46"/>
      <c r="AK3" s="46"/>
      <c r="AL3" s="46"/>
      <c r="AM3" s="46"/>
      <c r="AN3" s="46"/>
      <c r="AO3" s="46"/>
      <c r="AP3" s="46"/>
      <c r="AQ3" s="46"/>
      <c r="AR3" s="46"/>
      <c r="AS3" s="46"/>
      <c r="AT3" s="46"/>
      <c r="AU3" s="46"/>
      <c r="AV3" s="46"/>
    </row>
    <row r="4" spans="2:48" ht="15" customHeight="1" x14ac:dyDescent="0.2">
      <c r="B4" s="305">
        <v>2003</v>
      </c>
      <c r="C4" s="306">
        <v>0</v>
      </c>
      <c r="D4" s="307" t="s">
        <v>39</v>
      </c>
      <c r="E4" s="308">
        <v>0</v>
      </c>
      <c r="F4" s="307" t="s">
        <v>39</v>
      </c>
      <c r="G4" s="306">
        <v>0</v>
      </c>
      <c r="H4" s="307" t="s">
        <v>39</v>
      </c>
      <c r="I4" s="306">
        <v>0</v>
      </c>
      <c r="J4" s="307" t="s">
        <v>39</v>
      </c>
      <c r="K4" s="309">
        <v>1.0999999999999999E-2</v>
      </c>
      <c r="L4" s="307" t="s">
        <v>39</v>
      </c>
      <c r="M4" s="306">
        <v>0</v>
      </c>
      <c r="N4" s="307" t="s">
        <v>39</v>
      </c>
      <c r="O4" s="306">
        <v>0</v>
      </c>
      <c r="P4" s="310" t="s">
        <v>39</v>
      </c>
      <c r="Q4" s="306">
        <v>0</v>
      </c>
      <c r="R4" s="310" t="s">
        <v>39</v>
      </c>
      <c r="S4" s="311">
        <v>0</v>
      </c>
      <c r="T4" s="312" t="s">
        <v>39</v>
      </c>
      <c r="U4" s="313">
        <v>0</v>
      </c>
      <c r="V4" s="314" t="s">
        <v>39</v>
      </c>
      <c r="W4" s="313">
        <v>0</v>
      </c>
      <c r="X4" s="314" t="s">
        <v>39</v>
      </c>
      <c r="Y4" s="313">
        <v>0</v>
      </c>
      <c r="Z4" s="314" t="s">
        <v>39</v>
      </c>
      <c r="AA4" s="313">
        <v>0</v>
      </c>
      <c r="AB4" s="314" t="s">
        <v>39</v>
      </c>
      <c r="AI4" s="46"/>
      <c r="AJ4" s="46"/>
      <c r="AK4" s="46"/>
      <c r="AL4" s="46"/>
      <c r="AM4" s="46"/>
      <c r="AN4" s="46"/>
      <c r="AO4" s="46"/>
      <c r="AP4" s="46"/>
      <c r="AQ4" s="46"/>
      <c r="AR4" s="46"/>
      <c r="AS4" s="46"/>
      <c r="AT4" s="46"/>
      <c r="AU4" s="46"/>
      <c r="AV4" s="46"/>
    </row>
    <row r="5" spans="2:48" ht="15" customHeight="1" x14ac:dyDescent="0.2">
      <c r="B5" s="305">
        <v>2004</v>
      </c>
      <c r="C5" s="309">
        <v>1</v>
      </c>
      <c r="D5" s="307"/>
      <c r="E5" s="308">
        <v>0</v>
      </c>
      <c r="F5" s="307"/>
      <c r="G5" s="306">
        <v>0</v>
      </c>
      <c r="H5" s="307"/>
      <c r="I5" s="306">
        <v>0</v>
      </c>
      <c r="J5" s="307"/>
      <c r="K5" s="306">
        <v>1</v>
      </c>
      <c r="L5" s="307">
        <f>SUM((K5/K4)-1)</f>
        <v>89.909090909090921</v>
      </c>
      <c r="M5" s="306">
        <v>0</v>
      </c>
      <c r="N5" s="307"/>
      <c r="O5" s="306">
        <v>0</v>
      </c>
      <c r="P5" s="310"/>
      <c r="Q5" s="306">
        <v>0</v>
      </c>
      <c r="R5" s="310"/>
      <c r="S5" s="315">
        <v>0</v>
      </c>
      <c r="T5" s="316"/>
      <c r="U5" s="306">
        <v>0</v>
      </c>
      <c r="V5" s="310"/>
      <c r="W5" s="306">
        <v>0</v>
      </c>
      <c r="X5" s="310"/>
      <c r="Y5" s="306">
        <v>0</v>
      </c>
      <c r="Z5" s="310"/>
      <c r="AA5" s="306">
        <v>0</v>
      </c>
      <c r="AB5" s="310"/>
      <c r="AI5" s="46"/>
      <c r="AJ5" s="46"/>
      <c r="AK5" s="46"/>
      <c r="AL5" s="46"/>
      <c r="AM5" s="46"/>
      <c r="AN5" s="46"/>
      <c r="AO5" s="46"/>
      <c r="AP5" s="46"/>
      <c r="AQ5" s="46"/>
      <c r="AR5" s="46"/>
      <c r="AS5" s="46"/>
      <c r="AT5" s="46"/>
      <c r="AU5" s="46"/>
      <c r="AV5" s="46"/>
    </row>
    <row r="6" spans="2:48" ht="15" customHeight="1" x14ac:dyDescent="0.25">
      <c r="B6" s="305">
        <v>2005</v>
      </c>
      <c r="C6" s="306">
        <v>6</v>
      </c>
      <c r="D6" s="307">
        <f>SUM((C6/C5)-1)</f>
        <v>5</v>
      </c>
      <c r="E6" s="308">
        <v>0</v>
      </c>
      <c r="F6" s="307"/>
      <c r="G6" s="306">
        <v>0</v>
      </c>
      <c r="H6" s="307"/>
      <c r="I6" s="306">
        <v>0</v>
      </c>
      <c r="J6" s="307"/>
      <c r="K6" s="317">
        <v>4</v>
      </c>
      <c r="L6" s="307">
        <f t="shared" ref="L6:L16" si="0">SUM((K6/K5)-1)</f>
        <v>3</v>
      </c>
      <c r="M6" s="306">
        <v>0</v>
      </c>
      <c r="N6" s="307"/>
      <c r="O6" s="306">
        <v>0</v>
      </c>
      <c r="P6" s="310"/>
      <c r="Q6" s="306">
        <v>0</v>
      </c>
      <c r="R6" s="310"/>
      <c r="S6" s="315">
        <v>0</v>
      </c>
      <c r="T6" s="316"/>
      <c r="U6" s="306">
        <v>0</v>
      </c>
      <c r="V6" s="310"/>
      <c r="W6" s="306">
        <v>0</v>
      </c>
      <c r="X6" s="310"/>
      <c r="Y6" s="306">
        <v>0</v>
      </c>
      <c r="Z6" s="310"/>
      <c r="AA6" s="306">
        <v>0</v>
      </c>
      <c r="AB6" s="310"/>
      <c r="AI6" s="46"/>
      <c r="AJ6" s="46"/>
      <c r="AK6" s="46"/>
      <c r="AL6" s="46"/>
      <c r="AM6" s="46"/>
      <c r="AN6" s="46"/>
      <c r="AO6" s="46"/>
      <c r="AP6" s="46"/>
      <c r="AQ6" s="46"/>
      <c r="AR6" s="46"/>
      <c r="AS6" s="46"/>
      <c r="AT6" s="46"/>
      <c r="AU6" s="46"/>
      <c r="AV6" s="46"/>
    </row>
    <row r="7" spans="2:48" ht="15" customHeight="1" x14ac:dyDescent="0.25">
      <c r="B7" s="305">
        <v>2006</v>
      </c>
      <c r="C7" s="318">
        <v>12</v>
      </c>
      <c r="D7" s="307">
        <f t="shared" ref="D7:D20" si="1">SUM((C7/C6)-1)</f>
        <v>1</v>
      </c>
      <c r="E7" s="308">
        <v>0</v>
      </c>
      <c r="F7" s="307"/>
      <c r="G7" s="306">
        <v>0</v>
      </c>
      <c r="H7" s="307"/>
      <c r="I7" s="306">
        <v>0</v>
      </c>
      <c r="J7" s="307"/>
      <c r="K7" s="306">
        <v>8</v>
      </c>
      <c r="L7" s="307">
        <f t="shared" si="0"/>
        <v>1</v>
      </c>
      <c r="M7" s="309">
        <v>1.6E-2</v>
      </c>
      <c r="N7" s="307"/>
      <c r="O7" s="306">
        <v>0</v>
      </c>
      <c r="P7" s="310"/>
      <c r="Q7" s="306">
        <v>0</v>
      </c>
      <c r="R7" s="310"/>
      <c r="S7" s="315">
        <v>0</v>
      </c>
      <c r="T7" s="316"/>
      <c r="U7" s="306">
        <v>0</v>
      </c>
      <c r="V7" s="310"/>
      <c r="W7" s="306">
        <v>0</v>
      </c>
      <c r="X7" s="310"/>
      <c r="Y7" s="306">
        <v>0</v>
      </c>
      <c r="Z7" s="310"/>
      <c r="AA7" s="306">
        <v>0</v>
      </c>
      <c r="AB7" s="310"/>
      <c r="AI7" s="46"/>
      <c r="AJ7" s="46"/>
      <c r="AK7" s="46"/>
      <c r="AL7" s="46"/>
      <c r="AM7" s="46"/>
      <c r="AN7" s="46"/>
      <c r="AO7" s="46"/>
      <c r="AP7" s="46"/>
      <c r="AQ7" s="46"/>
      <c r="AR7" s="46"/>
      <c r="AS7" s="46"/>
      <c r="AT7" s="46"/>
      <c r="AU7" s="46"/>
      <c r="AV7" s="46"/>
    </row>
    <row r="8" spans="2:48" ht="15" customHeight="1" x14ac:dyDescent="0.2">
      <c r="B8" s="305">
        <v>2007</v>
      </c>
      <c r="C8" s="306">
        <v>58</v>
      </c>
      <c r="D8" s="307">
        <f t="shared" si="1"/>
        <v>3.833333333333333</v>
      </c>
      <c r="E8" s="308">
        <v>0</v>
      </c>
      <c r="F8" s="307"/>
      <c r="G8" s="306">
        <v>0</v>
      </c>
      <c r="H8" s="307"/>
      <c r="I8" s="306">
        <v>0</v>
      </c>
      <c r="J8" s="307"/>
      <c r="K8" s="319">
        <v>15</v>
      </c>
      <c r="L8" s="307">
        <f t="shared" si="0"/>
        <v>0.875</v>
      </c>
      <c r="M8" s="306">
        <v>0.70199999999999996</v>
      </c>
      <c r="N8" s="307">
        <f>SUM((M8/M7)-1)</f>
        <v>42.874999999999993</v>
      </c>
      <c r="O8" s="306">
        <v>0</v>
      </c>
      <c r="P8" s="310"/>
      <c r="Q8" s="306">
        <v>0</v>
      </c>
      <c r="R8" s="310"/>
      <c r="S8" s="315">
        <v>0</v>
      </c>
      <c r="T8" s="316"/>
      <c r="U8" s="306">
        <v>0</v>
      </c>
      <c r="V8" s="310"/>
      <c r="W8" s="306">
        <v>0</v>
      </c>
      <c r="X8" s="310"/>
      <c r="Y8" s="306">
        <v>0</v>
      </c>
      <c r="Z8" s="310"/>
      <c r="AA8" s="306">
        <v>0</v>
      </c>
      <c r="AB8" s="310"/>
      <c r="AI8" s="46"/>
      <c r="AJ8" s="46"/>
      <c r="AK8" s="46"/>
      <c r="AL8" s="46"/>
      <c r="AM8" s="46"/>
      <c r="AN8" s="46"/>
      <c r="AO8" s="46"/>
      <c r="AP8" s="46"/>
      <c r="AQ8" s="46"/>
      <c r="AR8" s="46"/>
      <c r="AS8" s="46"/>
      <c r="AT8" s="46"/>
      <c r="AU8" s="46"/>
      <c r="AV8" s="46"/>
    </row>
    <row r="9" spans="2:48" ht="15" customHeight="1" x14ac:dyDescent="0.25">
      <c r="B9" s="305">
        <v>2008</v>
      </c>
      <c r="C9" s="319">
        <v>145</v>
      </c>
      <c r="D9" s="307">
        <f t="shared" si="1"/>
        <v>1.5</v>
      </c>
      <c r="E9" s="320">
        <v>0.01</v>
      </c>
      <c r="F9" s="307"/>
      <c r="G9" s="306">
        <v>0</v>
      </c>
      <c r="H9" s="307"/>
      <c r="I9" s="306">
        <v>0</v>
      </c>
      <c r="J9" s="307"/>
      <c r="K9" s="319">
        <v>33</v>
      </c>
      <c r="L9" s="307">
        <f t="shared" si="0"/>
        <v>1.2000000000000002</v>
      </c>
      <c r="M9" s="318">
        <v>4</v>
      </c>
      <c r="N9" s="307">
        <f t="shared" ref="N9:N17" si="2">SUM((M9/M8)-1)</f>
        <v>4.6980056980056988</v>
      </c>
      <c r="O9" s="306">
        <v>0</v>
      </c>
      <c r="P9" s="310"/>
      <c r="Q9" s="306">
        <v>0</v>
      </c>
      <c r="R9" s="310"/>
      <c r="S9" s="315">
        <v>0</v>
      </c>
      <c r="T9" s="316"/>
      <c r="U9" s="306">
        <v>0</v>
      </c>
      <c r="V9" s="310"/>
      <c r="W9" s="306">
        <v>0</v>
      </c>
      <c r="X9" s="310"/>
      <c r="Y9" s="306">
        <v>0</v>
      </c>
      <c r="Z9" s="310"/>
      <c r="AA9" s="306">
        <v>0</v>
      </c>
      <c r="AB9" s="310"/>
      <c r="AI9" s="46"/>
      <c r="AJ9" s="46"/>
      <c r="AK9" s="46"/>
      <c r="AL9" s="46"/>
      <c r="AM9" s="46"/>
      <c r="AN9" s="46"/>
      <c r="AO9" s="46"/>
      <c r="AP9" s="46"/>
      <c r="AQ9" s="46"/>
      <c r="AR9" s="46"/>
      <c r="AS9" s="46"/>
      <c r="AT9" s="46"/>
      <c r="AU9" s="46"/>
      <c r="AV9" s="46"/>
    </row>
    <row r="10" spans="2:48" ht="15" customHeight="1" x14ac:dyDescent="0.2">
      <c r="B10" s="305">
        <v>2009</v>
      </c>
      <c r="C10" s="319">
        <v>360</v>
      </c>
      <c r="D10" s="307">
        <f t="shared" si="1"/>
        <v>1.4827586206896552</v>
      </c>
      <c r="E10" s="308">
        <v>0.25</v>
      </c>
      <c r="F10" s="307">
        <f>SUM((E10/E9)-1)</f>
        <v>24</v>
      </c>
      <c r="G10" s="306">
        <v>0</v>
      </c>
      <c r="H10" s="307"/>
      <c r="I10" s="306">
        <v>0</v>
      </c>
      <c r="J10" s="307"/>
      <c r="K10" s="306">
        <v>50</v>
      </c>
      <c r="L10" s="307">
        <f t="shared" si="0"/>
        <v>0.51515151515151514</v>
      </c>
      <c r="M10" s="306">
        <v>18</v>
      </c>
      <c r="N10" s="307">
        <f t="shared" si="2"/>
        <v>3.5</v>
      </c>
      <c r="O10" s="306">
        <v>0</v>
      </c>
      <c r="P10" s="310"/>
      <c r="Q10" s="306">
        <v>0</v>
      </c>
      <c r="R10" s="310"/>
      <c r="S10" s="315">
        <v>0</v>
      </c>
      <c r="T10" s="316"/>
      <c r="U10" s="306">
        <v>0</v>
      </c>
      <c r="V10" s="310"/>
      <c r="W10" s="306">
        <v>0</v>
      </c>
      <c r="X10" s="310"/>
      <c r="Y10" s="306">
        <v>0</v>
      </c>
      <c r="Z10" s="310"/>
      <c r="AA10" s="306">
        <v>0</v>
      </c>
      <c r="AB10" s="310"/>
      <c r="AI10" s="46"/>
      <c r="AJ10" s="46"/>
      <c r="AK10" s="46"/>
      <c r="AL10" s="46"/>
      <c r="AM10" s="46"/>
      <c r="AN10" s="46"/>
      <c r="AO10" s="46"/>
      <c r="AP10" s="46"/>
      <c r="AQ10" s="46"/>
      <c r="AR10" s="46"/>
      <c r="AS10" s="46"/>
      <c r="AT10" s="46"/>
      <c r="AU10" s="46"/>
      <c r="AV10" s="46"/>
    </row>
    <row r="11" spans="2:48" ht="15" customHeight="1" x14ac:dyDescent="0.25">
      <c r="B11" s="305">
        <v>2010</v>
      </c>
      <c r="C11" s="321">
        <v>608</v>
      </c>
      <c r="D11" s="307">
        <f t="shared" si="1"/>
        <v>0.68888888888888888</v>
      </c>
      <c r="E11" s="322">
        <v>5</v>
      </c>
      <c r="F11" s="307">
        <f t="shared" ref="F11:F18" si="3">SUM((E11/E10)-1)</f>
        <v>19</v>
      </c>
      <c r="G11" s="306">
        <v>0</v>
      </c>
      <c r="H11" s="307"/>
      <c r="I11" s="309">
        <v>1</v>
      </c>
      <c r="J11" s="307"/>
      <c r="K11" s="306">
        <v>75</v>
      </c>
      <c r="L11" s="307">
        <f t="shared" si="0"/>
        <v>0.5</v>
      </c>
      <c r="M11" s="319">
        <v>54</v>
      </c>
      <c r="N11" s="307">
        <f t="shared" si="2"/>
        <v>2</v>
      </c>
      <c r="O11" s="306">
        <v>0</v>
      </c>
      <c r="P11" s="310"/>
      <c r="Q11" s="306">
        <v>0</v>
      </c>
      <c r="R11" s="310"/>
      <c r="S11" s="315">
        <v>0</v>
      </c>
      <c r="T11" s="316"/>
      <c r="U11" s="306">
        <v>0</v>
      </c>
      <c r="V11" s="310"/>
      <c r="W11" s="306">
        <v>0</v>
      </c>
      <c r="X11" s="310"/>
      <c r="Y11" s="306">
        <v>0</v>
      </c>
      <c r="Z11" s="310"/>
      <c r="AA11" s="306">
        <v>0</v>
      </c>
      <c r="AB11" s="310"/>
      <c r="AI11" s="46"/>
      <c r="AJ11" s="46"/>
      <c r="AK11" s="46"/>
      <c r="AL11" s="46"/>
      <c r="AM11" s="46"/>
      <c r="AN11" s="46"/>
      <c r="AO11" s="46"/>
      <c r="AP11" s="46"/>
      <c r="AQ11" s="46"/>
      <c r="AR11" s="46"/>
      <c r="AS11" s="46"/>
      <c r="AT11" s="46"/>
      <c r="AU11" s="46"/>
      <c r="AV11" s="46"/>
    </row>
    <row r="12" spans="2:48" ht="15" customHeight="1" x14ac:dyDescent="0.2">
      <c r="B12" s="305">
        <v>2011</v>
      </c>
      <c r="C12" s="306">
        <v>845</v>
      </c>
      <c r="D12" s="307">
        <f t="shared" si="1"/>
        <v>0.38980263157894735</v>
      </c>
      <c r="E12" s="323">
        <v>35</v>
      </c>
      <c r="F12" s="307">
        <f t="shared" si="3"/>
        <v>6</v>
      </c>
      <c r="G12" s="309">
        <v>50</v>
      </c>
      <c r="H12" s="307"/>
      <c r="I12" s="306">
        <v>10</v>
      </c>
      <c r="J12" s="307">
        <f>SUM((I12/I11)-1)</f>
        <v>9</v>
      </c>
      <c r="K12" s="306">
        <v>135</v>
      </c>
      <c r="L12" s="307">
        <f t="shared" si="0"/>
        <v>0.8</v>
      </c>
      <c r="M12" s="319">
        <v>117</v>
      </c>
      <c r="N12" s="307">
        <f t="shared" si="2"/>
        <v>1.1666666666666665</v>
      </c>
      <c r="O12" s="306">
        <v>0</v>
      </c>
      <c r="P12" s="310"/>
      <c r="Q12" s="306">
        <v>0</v>
      </c>
      <c r="R12" s="310"/>
      <c r="S12" s="315">
        <v>0</v>
      </c>
      <c r="T12" s="316"/>
      <c r="U12" s="306">
        <v>0</v>
      </c>
      <c r="V12" s="310"/>
      <c r="W12" s="306">
        <v>0</v>
      </c>
      <c r="X12" s="310"/>
      <c r="Y12" s="306">
        <v>0</v>
      </c>
      <c r="Z12" s="310"/>
      <c r="AA12" s="306">
        <v>0</v>
      </c>
      <c r="AB12" s="310"/>
      <c r="AI12" s="46"/>
      <c r="AJ12" s="46"/>
      <c r="AK12" s="46"/>
      <c r="AL12" s="46"/>
      <c r="AM12" s="46"/>
      <c r="AN12" s="46"/>
      <c r="AO12" s="46"/>
      <c r="AP12" s="46"/>
      <c r="AQ12" s="46"/>
      <c r="AR12" s="46"/>
      <c r="AS12" s="46"/>
      <c r="AT12" s="46"/>
      <c r="AU12" s="46"/>
      <c r="AV12" s="46"/>
    </row>
    <row r="13" spans="2:48" ht="15" customHeight="1" x14ac:dyDescent="0.25">
      <c r="B13" s="305">
        <v>2012</v>
      </c>
      <c r="C13" s="306">
        <v>1056</v>
      </c>
      <c r="D13" s="307">
        <f t="shared" si="1"/>
        <v>0.24970414201183422</v>
      </c>
      <c r="E13" s="324">
        <v>150</v>
      </c>
      <c r="F13" s="307">
        <f t="shared" si="3"/>
        <v>3.2857142857142856</v>
      </c>
      <c r="G13" s="319">
        <v>160</v>
      </c>
      <c r="H13" s="325">
        <f>SUM((G13/G12)-1)</f>
        <v>2.2000000000000002</v>
      </c>
      <c r="I13" s="318">
        <v>80</v>
      </c>
      <c r="J13" s="307">
        <f t="shared" ref="J13:J19" si="4">SUM((I13/I12)-1)</f>
        <v>7</v>
      </c>
      <c r="K13" s="321">
        <v>202</v>
      </c>
      <c r="L13" s="307">
        <f t="shared" si="0"/>
        <v>0.49629629629629624</v>
      </c>
      <c r="M13" s="321">
        <v>185</v>
      </c>
      <c r="N13" s="307">
        <f t="shared" si="2"/>
        <v>0.58119658119658113</v>
      </c>
      <c r="O13" s="306">
        <v>0</v>
      </c>
      <c r="P13" s="310"/>
      <c r="Q13" s="306">
        <v>0</v>
      </c>
      <c r="R13" s="310"/>
      <c r="S13" s="315">
        <v>0</v>
      </c>
      <c r="T13" s="316"/>
      <c r="U13" s="306">
        <v>0</v>
      </c>
      <c r="V13" s="310"/>
      <c r="W13" s="306">
        <v>0</v>
      </c>
      <c r="X13" s="310"/>
      <c r="Y13" s="306">
        <v>0</v>
      </c>
      <c r="Z13" s="310"/>
      <c r="AA13" s="306">
        <v>0</v>
      </c>
      <c r="AB13" s="310"/>
      <c r="AI13" s="46"/>
      <c r="AJ13" s="46"/>
      <c r="AK13" s="46"/>
      <c r="AL13" s="46"/>
      <c r="AM13" s="46"/>
      <c r="AN13" s="46"/>
      <c r="AO13" s="46"/>
      <c r="AP13" s="46"/>
      <c r="AQ13" s="46"/>
      <c r="AR13" s="46"/>
      <c r="AS13" s="46"/>
      <c r="AT13" s="46"/>
      <c r="AU13" s="46"/>
      <c r="AV13" s="46"/>
    </row>
    <row r="14" spans="2:48" ht="15" customHeight="1" x14ac:dyDescent="0.2">
      <c r="B14" s="305">
        <v>2013</v>
      </c>
      <c r="C14" s="306">
        <v>1230</v>
      </c>
      <c r="D14" s="307">
        <f t="shared" si="1"/>
        <v>0.16477272727272729</v>
      </c>
      <c r="E14" s="324">
        <v>400</v>
      </c>
      <c r="F14" s="307">
        <f t="shared" si="3"/>
        <v>1.6666666666666665</v>
      </c>
      <c r="G14" s="326">
        <v>355</v>
      </c>
      <c r="H14" s="325">
        <f t="shared" ref="H14:H20" si="5">SUM((G14/G13)-1)</f>
        <v>1.21875</v>
      </c>
      <c r="I14" s="306">
        <v>150</v>
      </c>
      <c r="J14" s="307">
        <f t="shared" si="4"/>
        <v>0.875</v>
      </c>
      <c r="K14" s="306">
        <v>277</v>
      </c>
      <c r="L14" s="307">
        <f t="shared" si="0"/>
        <v>0.37128712871287139</v>
      </c>
      <c r="M14" s="306">
        <v>241</v>
      </c>
      <c r="N14" s="307">
        <f t="shared" si="2"/>
        <v>0.30270270270270272</v>
      </c>
      <c r="O14" s="306">
        <v>0</v>
      </c>
      <c r="P14" s="310"/>
      <c r="Q14" s="306">
        <v>0</v>
      </c>
      <c r="R14" s="310"/>
      <c r="S14" s="315">
        <v>0</v>
      </c>
      <c r="T14" s="316"/>
      <c r="U14" s="306">
        <v>0</v>
      </c>
      <c r="V14" s="310"/>
      <c r="W14" s="306">
        <v>0</v>
      </c>
      <c r="X14" s="310"/>
      <c r="Y14" s="306">
        <v>0</v>
      </c>
      <c r="Z14" s="310"/>
      <c r="AA14" s="306">
        <v>0</v>
      </c>
      <c r="AB14" s="310"/>
      <c r="AI14" s="46"/>
      <c r="AJ14" s="46"/>
      <c r="AK14" s="46"/>
      <c r="AL14" s="46"/>
      <c r="AM14" s="46"/>
      <c r="AN14" s="46"/>
      <c r="AO14" s="46"/>
      <c r="AP14" s="46"/>
      <c r="AQ14" s="46"/>
      <c r="AR14" s="46"/>
      <c r="AS14" s="46"/>
      <c r="AT14" s="46"/>
      <c r="AU14" s="46"/>
      <c r="AV14" s="46"/>
    </row>
    <row r="15" spans="2:48" ht="15" customHeight="1" x14ac:dyDescent="0.2">
      <c r="B15" s="305">
        <v>2014</v>
      </c>
      <c r="C15" s="306">
        <v>1393</v>
      </c>
      <c r="D15" s="307">
        <f t="shared" si="1"/>
        <v>0.13252032520325208</v>
      </c>
      <c r="E15" s="324">
        <v>600</v>
      </c>
      <c r="F15" s="307">
        <f t="shared" si="3"/>
        <v>0.5</v>
      </c>
      <c r="G15" s="321">
        <v>500</v>
      </c>
      <c r="H15" s="325">
        <f t="shared" si="5"/>
        <v>0.40845070422535201</v>
      </c>
      <c r="I15" s="319">
        <v>300</v>
      </c>
      <c r="J15" s="307">
        <f t="shared" si="4"/>
        <v>1</v>
      </c>
      <c r="K15" s="306">
        <v>347</v>
      </c>
      <c r="L15" s="307">
        <f t="shared" si="0"/>
        <v>0.25270758122743686</v>
      </c>
      <c r="M15" s="306">
        <v>288</v>
      </c>
      <c r="N15" s="307">
        <f t="shared" si="2"/>
        <v>0.19502074688796678</v>
      </c>
      <c r="O15" s="306">
        <v>0</v>
      </c>
      <c r="P15" s="310"/>
      <c r="Q15" s="306">
        <v>0</v>
      </c>
      <c r="R15" s="310"/>
      <c r="S15" s="315">
        <v>0</v>
      </c>
      <c r="T15" s="316"/>
      <c r="U15" s="306">
        <v>0</v>
      </c>
      <c r="V15" s="310"/>
      <c r="W15" s="306">
        <v>0</v>
      </c>
      <c r="X15" s="310"/>
      <c r="Y15" s="306">
        <v>0</v>
      </c>
      <c r="Z15" s="310"/>
      <c r="AA15" s="306">
        <v>0</v>
      </c>
      <c r="AB15" s="310"/>
      <c r="AI15" s="46"/>
      <c r="AJ15" s="46"/>
      <c r="AK15" s="46"/>
      <c r="AL15" s="46"/>
      <c r="AM15" s="46"/>
      <c r="AN15" s="46"/>
      <c r="AO15" s="46"/>
      <c r="AP15" s="46"/>
      <c r="AQ15" s="46"/>
      <c r="AR15" s="46"/>
      <c r="AS15" s="46"/>
      <c r="AT15" s="46"/>
      <c r="AU15" s="46"/>
      <c r="AV15" s="46"/>
    </row>
    <row r="16" spans="2:48" ht="15" customHeight="1" x14ac:dyDescent="0.2">
      <c r="B16" s="305">
        <v>2015</v>
      </c>
      <c r="C16" s="306">
        <v>1591</v>
      </c>
      <c r="D16" s="307">
        <f t="shared" si="1"/>
        <v>0.14213926776740848</v>
      </c>
      <c r="E16" s="327">
        <v>900</v>
      </c>
      <c r="F16" s="307">
        <f t="shared" si="3"/>
        <v>0.5</v>
      </c>
      <c r="G16" s="319">
        <v>697</v>
      </c>
      <c r="H16" s="325">
        <f t="shared" si="5"/>
        <v>0.39399999999999991</v>
      </c>
      <c r="I16" s="319">
        <v>400</v>
      </c>
      <c r="J16" s="307">
        <f t="shared" si="4"/>
        <v>0.33333333333333326</v>
      </c>
      <c r="K16" s="306">
        <v>414</v>
      </c>
      <c r="L16" s="307">
        <f t="shared" si="0"/>
        <v>0.19308357348703176</v>
      </c>
      <c r="M16" s="306">
        <v>305</v>
      </c>
      <c r="N16" s="307">
        <f t="shared" si="2"/>
        <v>5.9027777777777679E-2</v>
      </c>
      <c r="O16" s="306">
        <v>0</v>
      </c>
      <c r="P16" s="310"/>
      <c r="Q16" s="306">
        <v>0</v>
      </c>
      <c r="R16" s="310"/>
      <c r="S16" s="315">
        <v>0</v>
      </c>
      <c r="T16" s="316"/>
      <c r="U16" s="306">
        <v>0</v>
      </c>
      <c r="V16" s="310"/>
      <c r="W16" s="306">
        <v>0</v>
      </c>
      <c r="X16" s="310"/>
      <c r="Y16" s="306">
        <v>0</v>
      </c>
      <c r="Z16" s="310"/>
      <c r="AA16" s="306">
        <v>0</v>
      </c>
      <c r="AB16" s="310"/>
      <c r="AI16" s="46"/>
      <c r="AJ16" s="46"/>
      <c r="AK16" s="46"/>
      <c r="AL16" s="46"/>
      <c r="AM16" s="46"/>
      <c r="AN16" s="46"/>
      <c r="AO16" s="46"/>
      <c r="AP16" s="46"/>
      <c r="AQ16" s="46"/>
      <c r="AR16" s="46"/>
      <c r="AS16" s="46"/>
      <c r="AT16" s="46"/>
      <c r="AU16" s="46"/>
      <c r="AV16" s="46"/>
    </row>
    <row r="17" spans="2:48" ht="15" customHeight="1" x14ac:dyDescent="0.2">
      <c r="B17" s="305">
        <v>2016</v>
      </c>
      <c r="C17" s="306">
        <v>1860</v>
      </c>
      <c r="D17" s="307">
        <f t="shared" si="1"/>
        <v>0.16907605279698301</v>
      </c>
      <c r="E17" s="308">
        <v>1000</v>
      </c>
      <c r="F17" s="307">
        <f t="shared" si="3"/>
        <v>0.11111111111111116</v>
      </c>
      <c r="G17" s="306">
        <v>889</v>
      </c>
      <c r="H17" s="325">
        <f t="shared" si="5"/>
        <v>0.27546628407460538</v>
      </c>
      <c r="I17" s="321">
        <v>600</v>
      </c>
      <c r="J17" s="307">
        <f t="shared" si="4"/>
        <v>0.5</v>
      </c>
      <c r="K17" s="306"/>
      <c r="L17" s="307"/>
      <c r="M17" s="306">
        <v>319</v>
      </c>
      <c r="N17" s="307">
        <f t="shared" si="2"/>
        <v>4.590163934426239E-2</v>
      </c>
      <c r="O17" s="306">
        <v>0</v>
      </c>
      <c r="P17" s="310"/>
      <c r="Q17" s="306">
        <v>0</v>
      </c>
      <c r="R17" s="310"/>
      <c r="S17" s="315">
        <v>0</v>
      </c>
      <c r="T17" s="316"/>
      <c r="U17" s="306">
        <v>0</v>
      </c>
      <c r="V17" s="310"/>
      <c r="W17" s="306">
        <v>0</v>
      </c>
      <c r="X17" s="310"/>
      <c r="Y17" s="306">
        <v>0</v>
      </c>
      <c r="Z17" s="310"/>
      <c r="AA17" s="306">
        <v>0</v>
      </c>
      <c r="AB17" s="310"/>
      <c r="AI17" s="46"/>
      <c r="AJ17" s="46"/>
      <c r="AK17" s="46"/>
      <c r="AL17" s="46"/>
      <c r="AM17" s="46"/>
      <c r="AN17" s="46"/>
      <c r="AO17" s="46"/>
      <c r="AP17" s="46"/>
      <c r="AQ17" s="46"/>
      <c r="AR17" s="46"/>
      <c r="AS17" s="46"/>
      <c r="AT17" s="46"/>
      <c r="AU17" s="46"/>
      <c r="AV17" s="46"/>
    </row>
    <row r="18" spans="2:48" ht="15" customHeight="1" x14ac:dyDescent="0.2">
      <c r="B18" s="305">
        <v>2017</v>
      </c>
      <c r="C18" s="306">
        <v>2072</v>
      </c>
      <c r="D18" s="307">
        <f t="shared" si="1"/>
        <v>0.11397849462365595</v>
      </c>
      <c r="E18" s="308">
        <v>1500</v>
      </c>
      <c r="F18" s="307">
        <f t="shared" si="3"/>
        <v>0.5</v>
      </c>
      <c r="G18" s="306">
        <v>980</v>
      </c>
      <c r="H18" s="325">
        <f t="shared" si="5"/>
        <v>0.10236220472440949</v>
      </c>
      <c r="I18" s="306">
        <v>800</v>
      </c>
      <c r="J18" s="307">
        <f t="shared" si="4"/>
        <v>0.33333333333333326</v>
      </c>
      <c r="K18" s="306"/>
      <c r="L18" s="307"/>
      <c r="M18" s="306"/>
      <c r="N18" s="307"/>
      <c r="O18" s="306">
        <v>0</v>
      </c>
      <c r="P18" s="310"/>
      <c r="Q18" s="306">
        <v>0</v>
      </c>
      <c r="R18" s="310"/>
      <c r="S18" s="315">
        <v>0</v>
      </c>
      <c r="T18" s="316"/>
      <c r="U18" s="306">
        <v>0</v>
      </c>
      <c r="V18" s="310"/>
      <c r="W18" s="306">
        <v>0</v>
      </c>
      <c r="X18" s="310"/>
      <c r="Y18" s="306">
        <v>0</v>
      </c>
      <c r="Z18" s="310"/>
      <c r="AA18" s="306">
        <v>0</v>
      </c>
      <c r="AB18" s="310"/>
      <c r="AI18" s="46"/>
      <c r="AJ18" s="46"/>
      <c r="AK18" s="46"/>
      <c r="AL18" s="46"/>
      <c r="AM18" s="46"/>
      <c r="AN18" s="46"/>
      <c r="AO18" s="46"/>
      <c r="AP18" s="46"/>
      <c r="AQ18" s="46"/>
      <c r="AR18" s="46"/>
      <c r="AS18" s="46"/>
      <c r="AT18" s="46"/>
      <c r="AU18" s="46"/>
      <c r="AV18" s="46"/>
    </row>
    <row r="19" spans="2:48" ht="15" customHeight="1" x14ac:dyDescent="0.2">
      <c r="B19" s="305">
        <v>2018</v>
      </c>
      <c r="C19" s="306">
        <v>2250</v>
      </c>
      <c r="D19" s="307">
        <f t="shared" si="1"/>
        <v>8.5907335907335902E-2</v>
      </c>
      <c r="E19" s="308"/>
      <c r="F19" s="307"/>
      <c r="G19" s="306">
        <v>1100</v>
      </c>
      <c r="H19" s="325">
        <f t="shared" si="5"/>
        <v>0.12244897959183665</v>
      </c>
      <c r="I19" s="306">
        <v>1000</v>
      </c>
      <c r="J19" s="307">
        <f t="shared" si="4"/>
        <v>0.25</v>
      </c>
      <c r="K19" s="306"/>
      <c r="L19" s="307"/>
      <c r="M19" s="306"/>
      <c r="N19" s="307"/>
      <c r="O19" s="306">
        <v>0</v>
      </c>
      <c r="P19" s="310"/>
      <c r="Q19" s="306">
        <v>0</v>
      </c>
      <c r="R19" s="310"/>
      <c r="S19" s="315">
        <v>0</v>
      </c>
      <c r="T19" s="316"/>
      <c r="U19" s="306">
        <v>0</v>
      </c>
      <c r="V19" s="310"/>
      <c r="W19" s="306">
        <v>0</v>
      </c>
      <c r="X19" s="310"/>
      <c r="Y19" s="306">
        <v>0</v>
      </c>
      <c r="Z19" s="310"/>
      <c r="AA19" s="306">
        <v>0</v>
      </c>
      <c r="AB19" s="310"/>
      <c r="AI19" s="46"/>
      <c r="AJ19" s="46"/>
      <c r="AK19" s="46"/>
      <c r="AL19" s="46"/>
      <c r="AM19" s="46"/>
      <c r="AN19" s="46"/>
      <c r="AO19" s="46"/>
      <c r="AP19" s="46"/>
      <c r="AQ19" s="46"/>
      <c r="AR19" s="46"/>
      <c r="AS19" s="46"/>
      <c r="AT19" s="46"/>
      <c r="AU19" s="46"/>
      <c r="AV19" s="46"/>
    </row>
    <row r="20" spans="2:48" ht="15" customHeight="1" x14ac:dyDescent="0.2">
      <c r="B20" s="305">
        <v>2019</v>
      </c>
      <c r="C20" s="306">
        <v>2450</v>
      </c>
      <c r="D20" s="307">
        <f t="shared" si="1"/>
        <v>8.8888888888888795E-2</v>
      </c>
      <c r="E20" s="308"/>
      <c r="F20" s="307"/>
      <c r="G20" s="306">
        <v>1160</v>
      </c>
      <c r="H20" s="325">
        <f t="shared" si="5"/>
        <v>5.4545454545454453E-2</v>
      </c>
      <c r="I20" s="306"/>
      <c r="J20" s="307"/>
      <c r="K20" s="306"/>
      <c r="L20" s="307"/>
      <c r="M20" s="306"/>
      <c r="N20" s="307"/>
      <c r="O20" s="306">
        <v>0</v>
      </c>
      <c r="P20" s="310"/>
      <c r="Q20" s="306">
        <v>0</v>
      </c>
      <c r="R20" s="310"/>
      <c r="S20" s="315">
        <v>0</v>
      </c>
      <c r="T20" s="316"/>
      <c r="U20" s="306">
        <v>0</v>
      </c>
      <c r="V20" s="310"/>
      <c r="W20" s="306">
        <v>0</v>
      </c>
      <c r="X20" s="310"/>
      <c r="Y20" s="306">
        <v>0</v>
      </c>
      <c r="Z20" s="310"/>
      <c r="AA20" s="306">
        <v>0</v>
      </c>
      <c r="AB20" s="310"/>
      <c r="AI20" s="46"/>
      <c r="AJ20" s="46"/>
      <c r="AK20" s="46"/>
      <c r="AL20" s="46"/>
      <c r="AM20" s="46"/>
      <c r="AN20" s="46"/>
      <c r="AO20" s="46"/>
      <c r="AP20" s="46"/>
      <c r="AQ20" s="46"/>
      <c r="AR20" s="46"/>
      <c r="AS20" s="46"/>
      <c r="AT20" s="46"/>
      <c r="AU20" s="46"/>
      <c r="AV20" s="46"/>
    </row>
    <row r="21" spans="2:48" ht="15" customHeight="1" x14ac:dyDescent="0.2">
      <c r="B21" s="305">
        <v>2020</v>
      </c>
      <c r="C21" s="306"/>
      <c r="D21" s="307"/>
      <c r="E21" s="308"/>
      <c r="F21" s="307"/>
      <c r="G21" s="306"/>
      <c r="H21" s="307"/>
      <c r="I21" s="306"/>
      <c r="J21" s="307"/>
      <c r="K21" s="306"/>
      <c r="L21" s="307"/>
      <c r="M21" s="306"/>
      <c r="N21" s="307"/>
      <c r="O21" s="328">
        <f>SUM(('Result of your Estimation'!J18)/1000000)</f>
        <v>2.6787965261703416E-2</v>
      </c>
      <c r="P21" s="310"/>
      <c r="Q21" s="328">
        <f>SUM((Realistic!J18)/1000000)</f>
        <v>5.5007231534220366E-2</v>
      </c>
      <c r="R21" s="310"/>
      <c r="S21" s="329">
        <f>SUM((Cautious!J18)/1000000)</f>
        <v>3.3585002128095578E-2</v>
      </c>
      <c r="T21" s="316"/>
      <c r="U21" s="328">
        <f>SUM((Optimistic!J18)/1000000)</f>
        <v>6.9407414864748163E-2</v>
      </c>
      <c r="V21" s="310"/>
      <c r="W21" s="328">
        <f>SUM((Pessimistic!J18)/1000000)</f>
        <v>1.2414843703027423E-2</v>
      </c>
      <c r="X21" s="310"/>
      <c r="Y21" s="328">
        <f>SUM(('Worst Case'!J18)/1000000)</f>
        <v>1.0865521167239923E-2</v>
      </c>
      <c r="Z21" s="310"/>
      <c r="AA21" s="328">
        <f>SUM(('Possible+'!J18)/1000000)</f>
        <v>9.425171786550926E-2</v>
      </c>
      <c r="AB21" s="310"/>
      <c r="AI21" s="46"/>
      <c r="AJ21" s="46"/>
      <c r="AK21" s="46"/>
      <c r="AL21" s="46"/>
      <c r="AM21" s="46"/>
      <c r="AN21" s="46"/>
      <c r="AO21" s="46"/>
      <c r="AP21" s="46"/>
      <c r="AQ21" s="46"/>
      <c r="AR21" s="46"/>
      <c r="AS21" s="46"/>
      <c r="AT21" s="46"/>
      <c r="AU21" s="46"/>
      <c r="AV21" s="46"/>
    </row>
    <row r="22" spans="2:48" ht="15" customHeight="1" x14ac:dyDescent="0.2">
      <c r="B22" s="305">
        <v>2021</v>
      </c>
      <c r="C22" s="306"/>
      <c r="D22" s="307"/>
      <c r="E22" s="308"/>
      <c r="F22" s="307"/>
      <c r="G22" s="306"/>
      <c r="H22" s="307"/>
      <c r="I22" s="306"/>
      <c r="J22" s="307"/>
      <c r="K22" s="306"/>
      <c r="L22" s="307"/>
      <c r="M22" s="306"/>
      <c r="N22" s="307"/>
      <c r="O22" s="330">
        <f>SUM(('Result of your Estimation'!O18)/1000000)</f>
        <v>3.8454597338960603E-2</v>
      </c>
      <c r="P22" s="310">
        <f>SUM((O22/O21)-1)</f>
        <v>0.43551766486482735</v>
      </c>
      <c r="Q22" s="330">
        <f>SUM((Realistic!O18)/1000000)</f>
        <v>0.26211723812496734</v>
      </c>
      <c r="R22" s="310">
        <f>SUM((Q22/Q21)-1)</f>
        <v>3.7651414334841133</v>
      </c>
      <c r="S22" s="329">
        <f>SUM((Cautious!O18)/1000000)</f>
        <v>0.10428894296394459</v>
      </c>
      <c r="T22" s="316">
        <f>SUM((S22/S21)-1)</f>
        <v>2.1052236520986112</v>
      </c>
      <c r="U22" s="330">
        <f>SUM((Optimistic!O18)/1000000)</f>
        <v>0.47735846255868269</v>
      </c>
      <c r="V22" s="310">
        <f>SUM((U22/U21)-1)</f>
        <v>5.8776291911879257</v>
      </c>
      <c r="W22" s="330">
        <f>SUM((Pessimistic!O18)/1000000)</f>
        <v>2.4539785133050454E-2</v>
      </c>
      <c r="X22" s="310">
        <f>SUM((W22/W21)-1)</f>
        <v>0.97664873759677717</v>
      </c>
      <c r="Y22" s="330">
        <f>SUM(('Worst Case'!O18)/1000000)</f>
        <v>1.9524335023017342E-2</v>
      </c>
      <c r="Z22" s="310">
        <f>SUM((Y22/Y21)-1)</f>
        <v>0.7969073662001751</v>
      </c>
      <c r="AA22" s="330">
        <f>SUM(('Possible+'!O18)/1000000)</f>
        <v>1.6694915514034163</v>
      </c>
      <c r="AB22" s="310">
        <f>SUM((AA22/AA21)-1)</f>
        <v>16.713115359718604</v>
      </c>
      <c r="AI22" s="46"/>
      <c r="AJ22" s="46"/>
      <c r="AK22" s="46"/>
      <c r="AL22" s="46"/>
      <c r="AM22" s="46"/>
      <c r="AN22" s="46"/>
      <c r="AO22" s="46"/>
      <c r="AP22" s="46"/>
      <c r="AQ22" s="46"/>
      <c r="AR22" s="46"/>
      <c r="AS22" s="46"/>
      <c r="AT22" s="46"/>
      <c r="AU22" s="46"/>
      <c r="AV22" s="46"/>
    </row>
    <row r="23" spans="2:48" ht="15" customHeight="1" x14ac:dyDescent="0.2">
      <c r="B23" s="305">
        <v>2022</v>
      </c>
      <c r="C23" s="306"/>
      <c r="D23" s="307"/>
      <c r="E23" s="308"/>
      <c r="F23" s="307"/>
      <c r="G23" s="306"/>
      <c r="H23" s="307"/>
      <c r="I23" s="306"/>
      <c r="J23" s="307"/>
      <c r="K23" s="306"/>
      <c r="L23" s="307"/>
      <c r="M23" s="306"/>
      <c r="N23" s="307"/>
      <c r="O23" s="331">
        <f>(SUM(('Result of your Estimation'!T18)/1000000))</f>
        <v>3.8454597338960603E-2</v>
      </c>
      <c r="P23" s="310">
        <f t="shared" ref="P23:P26" si="6">SUM((O23/O22)-1)</f>
        <v>0</v>
      </c>
      <c r="Q23" s="331">
        <f>SUM((Realistic!T18)/1000000)</f>
        <v>2.0163530394777931</v>
      </c>
      <c r="R23" s="310">
        <f t="shared" ref="R23:R26" si="7">SUM((Q23/Q22)-1)</f>
        <v>6.6925617479475887</v>
      </c>
      <c r="S23" s="332">
        <f>(SUM((Cautious!T18)/1000000))</f>
        <v>0.41549386781715836</v>
      </c>
      <c r="T23" s="316">
        <f t="shared" ref="T23:T26" si="8">SUM((S23/S22)-1)</f>
        <v>2.9840644272404355</v>
      </c>
      <c r="U23" s="331">
        <f>(SUM((Optimistic!T18)/1000000))</f>
        <v>4.6260310702250429</v>
      </c>
      <c r="V23" s="310">
        <f>SUM((U23/U22)-1)</f>
        <v>8.6908956959286225</v>
      </c>
      <c r="W23" s="331">
        <f>(SUM((Pessimistic!T18)/1000000))</f>
        <v>3.8404845540640886E-2</v>
      </c>
      <c r="X23" s="310">
        <f t="shared" ref="X23:X26" si="9">SUM((W23/W22)-1)</f>
        <v>0.56500333366476041</v>
      </c>
      <c r="Y23" s="331">
        <f>(SUM(('Worst Case'!T18)/1000000))</f>
        <v>3.0078977575977203E-2</v>
      </c>
      <c r="Z23" s="310">
        <f t="shared" ref="Z23:Z26" si="10">SUM((Y23/Y22)-1)</f>
        <v>0.54058909256151044</v>
      </c>
      <c r="AA23" s="331">
        <f>(SUM(('Possible+'!T18)/1000000))</f>
        <v>28.189692922394492</v>
      </c>
      <c r="AB23" s="310">
        <f>SUM((AA23/AA22)-1)</f>
        <v>15.885196513092584</v>
      </c>
      <c r="AI23" s="46"/>
      <c r="AJ23" s="46"/>
      <c r="AK23" s="46"/>
      <c r="AL23" s="46"/>
      <c r="AM23" s="46"/>
      <c r="AN23" s="46"/>
      <c r="AO23" s="46"/>
      <c r="AP23" s="46"/>
      <c r="AQ23" s="46"/>
      <c r="AR23" s="46"/>
      <c r="AS23" s="46"/>
      <c r="AT23" s="46"/>
      <c r="AU23" s="46"/>
      <c r="AV23" s="46"/>
    </row>
    <row r="24" spans="2:48" ht="15" customHeight="1" x14ac:dyDescent="0.2">
      <c r="B24" s="305">
        <v>2023</v>
      </c>
      <c r="C24" s="306"/>
      <c r="D24" s="307"/>
      <c r="E24" s="308"/>
      <c r="F24" s="307"/>
      <c r="G24" s="306"/>
      <c r="H24" s="307"/>
      <c r="I24" s="306"/>
      <c r="J24" s="307"/>
      <c r="K24" s="306"/>
      <c r="L24" s="307"/>
      <c r="M24" s="306"/>
      <c r="N24" s="307"/>
      <c r="O24" s="333">
        <f>SUM(('Result of your Estimation'!V18)/1000000)</f>
        <v>3.8454597338960603E-2</v>
      </c>
      <c r="P24" s="310">
        <f t="shared" si="6"/>
        <v>0</v>
      </c>
      <c r="Q24" s="333">
        <f>SUM((Realistic!V18)/1000000)</f>
        <v>5.8912056794336474</v>
      </c>
      <c r="R24" s="310">
        <f t="shared" si="7"/>
        <v>1.9217133924917169</v>
      </c>
      <c r="S24" s="329">
        <f>SUM((Cautious!V18)/1000000)</f>
        <v>0.9093652633005842</v>
      </c>
      <c r="T24" s="316">
        <f t="shared" si="8"/>
        <v>1.1886370262888168</v>
      </c>
      <c r="U24" s="333">
        <f>SUM((Optimistic!V18)/1000000)</f>
        <v>12.934813317469544</v>
      </c>
      <c r="V24" s="310">
        <f>SUM((U24/U23)-1)</f>
        <v>1.7960930484715276</v>
      </c>
      <c r="W24" s="333">
        <f>SUM((Pessimistic!V18)/1000000)</f>
        <v>0.10950545177063169</v>
      </c>
      <c r="X24" s="310">
        <f t="shared" si="9"/>
        <v>1.8513446735451784</v>
      </c>
      <c r="Y24" s="333">
        <f>SUM(('Worst Case'!V18)/1000000)</f>
        <v>9.1586845292634722E-2</v>
      </c>
      <c r="Z24" s="310">
        <f t="shared" si="10"/>
        <v>2.0448789378326886</v>
      </c>
      <c r="AA24" s="333">
        <f>SUM(('Possible+'!V18)/1000000)</f>
        <v>86.319407701136385</v>
      </c>
      <c r="AB24" s="310">
        <f>SUM((AA24/AA23)-1)</f>
        <v>2.0620910961595613</v>
      </c>
      <c r="AI24" s="46"/>
      <c r="AJ24" s="46"/>
      <c r="AK24" s="46"/>
      <c r="AL24" s="46"/>
      <c r="AM24" s="46"/>
      <c r="AN24" s="46"/>
      <c r="AO24" s="46"/>
      <c r="AP24" s="46"/>
      <c r="AQ24" s="46"/>
      <c r="AR24" s="46"/>
      <c r="AS24" s="46"/>
      <c r="AT24" s="46"/>
      <c r="AU24" s="46"/>
      <c r="AV24" s="46"/>
    </row>
    <row r="25" spans="2:48" ht="15" customHeight="1" x14ac:dyDescent="0.2">
      <c r="B25" s="305">
        <v>2024</v>
      </c>
      <c r="C25" s="306"/>
      <c r="D25" s="307"/>
      <c r="E25" s="308"/>
      <c r="F25" s="307"/>
      <c r="G25" s="306"/>
      <c r="H25" s="307"/>
      <c r="I25" s="306"/>
      <c r="J25" s="307"/>
      <c r="K25" s="306"/>
      <c r="L25" s="307"/>
      <c r="M25" s="306"/>
      <c r="N25" s="307"/>
      <c r="O25" s="333">
        <f>SUM(('Result of your Estimation'!W18)/1000000)</f>
        <v>3.8454597338960603E-2</v>
      </c>
      <c r="P25" s="310">
        <f t="shared" si="6"/>
        <v>0</v>
      </c>
      <c r="Q25" s="333">
        <f>SUM((Realistic!W18)/1000000)</f>
        <v>14.010941670429698</v>
      </c>
      <c r="R25" s="310">
        <f t="shared" si="7"/>
        <v>1.3782808533306281</v>
      </c>
      <c r="S25" s="329">
        <f>SUM((Cautious!W18)/1000000)</f>
        <v>2.9351818902063194</v>
      </c>
      <c r="T25" s="316">
        <f t="shared" si="8"/>
        <v>2.2277259849941244</v>
      </c>
      <c r="U25" s="333">
        <f>SUM((Optimistic!W18)/1000000)</f>
        <v>26.667311902213129</v>
      </c>
      <c r="V25" s="310">
        <f>SUM((U25/U24)-1)</f>
        <v>1.0616696389577345</v>
      </c>
      <c r="W25" s="333">
        <f>SUM((Pessimistic!W18)/1000000)</f>
        <v>0.21292123482655098</v>
      </c>
      <c r="X25" s="310">
        <f t="shared" si="9"/>
        <v>0.94438935581519989</v>
      </c>
      <c r="Y25" s="333">
        <f>SUM(('Worst Case'!W18)/1000000)</f>
        <v>0.14811168729115032</v>
      </c>
      <c r="Z25" s="310">
        <f t="shared" si="10"/>
        <v>0.61717206022229099</v>
      </c>
      <c r="AA25" s="333">
        <f>SUM(('Possible+'!W18)/1000000)</f>
        <v>217.00476397413163</v>
      </c>
      <c r="AB25" s="310">
        <f>SUM((AA25/AA24)-1)</f>
        <v>1.5139742006278247</v>
      </c>
      <c r="AI25" s="46"/>
      <c r="AJ25" s="46"/>
      <c r="AK25" s="46"/>
      <c r="AL25" s="46"/>
      <c r="AM25" s="46"/>
      <c r="AN25" s="46"/>
      <c r="AO25" s="46"/>
      <c r="AP25" s="46"/>
      <c r="AQ25" s="46"/>
      <c r="AR25" s="46"/>
      <c r="AS25" s="46"/>
      <c r="AT25" s="46"/>
      <c r="AU25" s="46"/>
      <c r="AV25" s="46"/>
    </row>
    <row r="26" spans="2:48" ht="15" customHeight="1" thickBot="1" x14ac:dyDescent="0.25">
      <c r="B26" s="334">
        <v>2025</v>
      </c>
      <c r="C26" s="335"/>
      <c r="D26" s="336"/>
      <c r="E26" s="337"/>
      <c r="F26" s="336"/>
      <c r="G26" s="335"/>
      <c r="H26" s="336"/>
      <c r="I26" s="335"/>
      <c r="J26" s="336"/>
      <c r="K26" s="335"/>
      <c r="L26" s="336"/>
      <c r="M26" s="335"/>
      <c r="N26" s="336"/>
      <c r="O26" s="338">
        <f>SUM(('Result of your Estimation'!X18)/1000000)</f>
        <v>3.8454597338960603E-2</v>
      </c>
      <c r="P26" s="339">
        <f t="shared" si="6"/>
        <v>0</v>
      </c>
      <c r="Q26" s="338">
        <f>SUM((Realistic!X18)/1000000)</f>
        <v>25.294677306404136</v>
      </c>
      <c r="R26" s="339">
        <f t="shared" si="7"/>
        <v>0.80535169593839151</v>
      </c>
      <c r="S26" s="340">
        <f>SUM((Cautious!X18)/1000000)</f>
        <v>5.7482580720707679</v>
      </c>
      <c r="T26" s="341">
        <f t="shared" si="8"/>
        <v>0.95839927033166328</v>
      </c>
      <c r="U26" s="338">
        <f>SUM((Optimistic!X18)/1000000)</f>
        <v>46.166558381533548</v>
      </c>
      <c r="V26" s="339">
        <f>SUM((U26/U25)-1)</f>
        <v>0.73120405051782411</v>
      </c>
      <c r="W26" s="338">
        <f>SUM((Pessimistic!X18)/1000000)</f>
        <v>0.3092380271997755</v>
      </c>
      <c r="X26" s="339">
        <f t="shared" si="9"/>
        <v>0.45235879104160603</v>
      </c>
      <c r="Y26" s="338">
        <f>SUM(('Worst Case'!X18)/1000000)</f>
        <v>0.19523351423873583</v>
      </c>
      <c r="Z26" s="339">
        <f t="shared" si="10"/>
        <v>0.31815063219795658</v>
      </c>
      <c r="AA26" s="338">
        <f>SUM(('Possible+'!X18)/1000000)</f>
        <v>401.64612440556323</v>
      </c>
      <c r="AB26" s="339">
        <f>SUM((AA26/AA25)-1)</f>
        <v>0.8508631656282073</v>
      </c>
      <c r="AC26" s="342"/>
      <c r="AI26" s="46"/>
      <c r="AJ26" s="46"/>
      <c r="AK26" s="46"/>
      <c r="AL26" s="46"/>
      <c r="AM26" s="46"/>
      <c r="AN26" s="46"/>
      <c r="AO26" s="46"/>
      <c r="AP26" s="46"/>
      <c r="AQ26" s="46"/>
      <c r="AR26" s="46"/>
      <c r="AS26" s="46"/>
      <c r="AT26" s="46"/>
      <c r="AU26" s="46"/>
      <c r="AV26" s="46"/>
    </row>
    <row r="27" spans="2:48" ht="14.25" x14ac:dyDescent="0.2">
      <c r="B27" s="87"/>
      <c r="C27" s="87"/>
      <c r="D27" s="343"/>
      <c r="E27" s="88"/>
      <c r="F27" s="343"/>
      <c r="G27" s="87"/>
      <c r="H27" s="343"/>
      <c r="I27" s="87"/>
      <c r="J27" s="343"/>
      <c r="K27" s="87"/>
      <c r="L27" s="343"/>
      <c r="M27" s="87"/>
      <c r="N27" s="343"/>
      <c r="O27" s="87"/>
      <c r="P27" s="344"/>
      <c r="Q27" s="87"/>
      <c r="R27" s="344"/>
      <c r="S27" s="344"/>
      <c r="T27" s="344"/>
      <c r="U27" s="344"/>
      <c r="V27" s="344"/>
      <c r="W27" s="344"/>
      <c r="X27" s="344"/>
      <c r="Y27" s="344"/>
      <c r="Z27" s="344"/>
      <c r="AI27" s="46"/>
      <c r="AJ27" s="46"/>
      <c r="AK27" s="46"/>
      <c r="AL27" s="46"/>
      <c r="AM27" s="46"/>
      <c r="AN27" s="46"/>
      <c r="AO27" s="46"/>
      <c r="AP27" s="46"/>
      <c r="AQ27" s="46"/>
      <c r="AR27" s="46"/>
      <c r="AS27" s="46"/>
      <c r="AT27" s="46"/>
      <c r="AU27" s="46"/>
      <c r="AV27" s="46"/>
    </row>
    <row r="28" spans="2:48" ht="14.25" x14ac:dyDescent="0.2">
      <c r="B28" s="87"/>
      <c r="C28" s="345" t="s">
        <v>114</v>
      </c>
      <c r="D28" s="346"/>
      <c r="E28" s="347"/>
      <c r="F28" s="346"/>
      <c r="G28" s="348"/>
      <c r="H28" s="346"/>
      <c r="I28" s="348"/>
      <c r="J28" s="346"/>
      <c r="K28" s="348"/>
      <c r="L28" s="346"/>
      <c r="M28" s="348"/>
      <c r="N28" s="346"/>
      <c r="O28" s="349"/>
      <c r="P28" s="350"/>
      <c r="Q28" s="349"/>
      <c r="R28" s="351"/>
      <c r="S28" s="351"/>
      <c r="T28" s="351"/>
      <c r="U28" s="351"/>
      <c r="V28" s="351"/>
      <c r="W28" s="351"/>
      <c r="X28" s="351"/>
      <c r="Y28" s="351"/>
      <c r="Z28" s="351"/>
      <c r="AI28" s="46"/>
      <c r="AJ28" s="46"/>
      <c r="AK28" s="46"/>
      <c r="AL28" s="46"/>
      <c r="AM28" s="46"/>
      <c r="AN28" s="46"/>
      <c r="AO28" s="46"/>
      <c r="AP28" s="46"/>
      <c r="AQ28" s="46"/>
      <c r="AR28" s="46"/>
      <c r="AS28" s="46"/>
      <c r="AT28" s="46"/>
      <c r="AU28" s="46"/>
      <c r="AV28" s="46"/>
    </row>
    <row r="29" spans="2:48" ht="14.25" x14ac:dyDescent="0.2">
      <c r="B29" s="87"/>
      <c r="C29" s="352" t="s">
        <v>115</v>
      </c>
      <c r="D29" s="353"/>
      <c r="E29" s="354"/>
      <c r="F29" s="353"/>
      <c r="G29" s="355"/>
      <c r="H29" s="353"/>
      <c r="I29" s="355"/>
      <c r="J29" s="353"/>
      <c r="K29" s="355"/>
      <c r="L29" s="353"/>
      <c r="M29" s="355"/>
      <c r="N29" s="353"/>
      <c r="O29" s="356"/>
      <c r="P29" s="357"/>
      <c r="Q29" s="356"/>
      <c r="R29" s="351"/>
      <c r="S29" s="351"/>
      <c r="T29" s="351"/>
      <c r="U29" s="351"/>
      <c r="V29" s="351"/>
      <c r="W29" s="351"/>
      <c r="X29" s="351"/>
      <c r="Y29" s="351"/>
      <c r="Z29" s="351"/>
      <c r="AI29" s="46"/>
      <c r="AJ29" s="46"/>
      <c r="AK29" s="46"/>
      <c r="AL29" s="46"/>
      <c r="AM29" s="46"/>
      <c r="AN29" s="46"/>
      <c r="AO29" s="46"/>
      <c r="AP29" s="46"/>
      <c r="AQ29" s="46"/>
      <c r="AR29" s="46"/>
      <c r="AS29" s="46"/>
      <c r="AT29" s="46"/>
      <c r="AU29" s="46"/>
      <c r="AV29" s="46"/>
    </row>
    <row r="30" spans="2:48" ht="14.25" x14ac:dyDescent="0.2">
      <c r="B30" s="358"/>
      <c r="C30" s="359" t="s">
        <v>116</v>
      </c>
      <c r="D30" s="360"/>
      <c r="E30" s="361"/>
      <c r="F30" s="360"/>
      <c r="G30" s="362"/>
      <c r="H30" s="360"/>
      <c r="I30" s="362"/>
      <c r="J30" s="360"/>
      <c r="K30" s="362"/>
      <c r="L30" s="360"/>
      <c r="M30" s="362"/>
      <c r="N30" s="360"/>
      <c r="O30" s="363"/>
      <c r="P30" s="364"/>
      <c r="Q30" s="363"/>
      <c r="R30" s="351"/>
      <c r="S30" s="351"/>
      <c r="T30" s="351"/>
      <c r="U30" s="351"/>
      <c r="V30" s="351"/>
      <c r="W30" s="351"/>
      <c r="X30" s="351"/>
      <c r="Y30" s="351"/>
      <c r="Z30" s="351"/>
      <c r="AI30" s="46"/>
      <c r="AJ30" s="46"/>
      <c r="AK30" s="46"/>
      <c r="AL30" s="46"/>
      <c r="AM30" s="46"/>
      <c r="AN30" s="46"/>
      <c r="AO30" s="46"/>
      <c r="AP30" s="46"/>
      <c r="AQ30" s="46"/>
      <c r="AR30" s="46"/>
      <c r="AS30" s="46"/>
      <c r="AT30" s="46"/>
      <c r="AU30" s="46"/>
      <c r="AV30" s="46"/>
    </row>
    <row r="31" spans="2:48" ht="15" x14ac:dyDescent="0.25">
      <c r="B31" s="304"/>
      <c r="C31" s="87"/>
      <c r="D31" s="343"/>
      <c r="E31" s="88"/>
      <c r="F31" s="343"/>
      <c r="G31" s="87"/>
      <c r="H31" s="343"/>
      <c r="I31" s="87"/>
      <c r="J31" s="343"/>
      <c r="K31" s="87"/>
      <c r="L31" s="343"/>
      <c r="M31" s="87"/>
      <c r="N31" s="343"/>
      <c r="O31" s="304"/>
      <c r="P31" s="365"/>
      <c r="Q31" s="304"/>
      <c r="R31" s="365"/>
      <c r="S31" s="365"/>
      <c r="T31" s="365"/>
      <c r="U31" s="365"/>
      <c r="V31" s="365"/>
      <c r="W31" s="365"/>
      <c r="X31" s="365"/>
      <c r="Y31" s="365"/>
      <c r="Z31" s="365"/>
      <c r="AI31" s="46"/>
      <c r="AJ31" s="46"/>
      <c r="AK31" s="46"/>
      <c r="AL31" s="46"/>
      <c r="AM31" s="46"/>
      <c r="AN31" s="46"/>
      <c r="AO31" s="46"/>
      <c r="AP31" s="46"/>
      <c r="AQ31" s="46"/>
      <c r="AR31" s="46"/>
      <c r="AS31" s="46"/>
      <c r="AT31" s="46"/>
      <c r="AU31" s="46"/>
      <c r="AV31" s="46"/>
    </row>
    <row r="32" spans="2:48" ht="15" x14ac:dyDescent="0.25">
      <c r="B32" s="304"/>
      <c r="C32" s="87"/>
      <c r="D32" s="343"/>
      <c r="E32" s="88"/>
      <c r="F32" s="343"/>
      <c r="G32" s="87"/>
      <c r="H32" s="343"/>
      <c r="I32" s="87"/>
      <c r="J32" s="343"/>
      <c r="K32" s="87"/>
      <c r="L32" s="343"/>
      <c r="M32" s="87"/>
      <c r="N32" s="343"/>
      <c r="O32" s="304"/>
      <c r="P32" s="365"/>
      <c r="Q32" s="304"/>
      <c r="R32" s="365"/>
      <c r="S32" s="365"/>
      <c r="T32" s="365"/>
      <c r="U32" s="365"/>
      <c r="V32" s="365"/>
      <c r="W32" s="365"/>
      <c r="X32" s="365"/>
      <c r="Y32" s="365"/>
      <c r="Z32" s="365"/>
      <c r="AI32" s="46"/>
      <c r="AJ32" s="46"/>
      <c r="AK32" s="46"/>
      <c r="AL32" s="46"/>
      <c r="AM32" s="46"/>
      <c r="AN32" s="46"/>
      <c r="AO32" s="46"/>
      <c r="AP32" s="46"/>
      <c r="AQ32" s="46"/>
      <c r="AR32" s="46"/>
      <c r="AS32" s="46"/>
      <c r="AT32" s="46"/>
      <c r="AU32" s="46"/>
      <c r="AV32" s="46"/>
    </row>
    <row r="33" spans="1:48" ht="14.25" x14ac:dyDescent="0.2">
      <c r="B33" s="87"/>
      <c r="C33" s="87"/>
      <c r="D33" s="343"/>
      <c r="E33" s="88"/>
      <c r="F33" s="343"/>
      <c r="G33" s="87"/>
      <c r="H33" s="343"/>
      <c r="I33" s="87"/>
      <c r="J33" s="343"/>
      <c r="K33" s="87"/>
      <c r="L33" s="343"/>
      <c r="M33" s="87"/>
      <c r="N33" s="343"/>
      <c r="O33" s="87"/>
      <c r="P33" s="344"/>
      <c r="Q33" s="87"/>
      <c r="R33" s="344"/>
      <c r="S33" s="344"/>
      <c r="T33" s="344"/>
      <c r="U33" s="344"/>
      <c r="V33" s="344"/>
      <c r="W33" s="344"/>
      <c r="X33" s="344"/>
      <c r="Y33" s="344"/>
      <c r="Z33" s="344"/>
      <c r="AI33" s="46"/>
      <c r="AJ33" s="46"/>
      <c r="AK33" s="46"/>
      <c r="AL33" s="46"/>
      <c r="AM33" s="46"/>
      <c r="AN33" s="46"/>
      <c r="AO33" s="46"/>
      <c r="AP33" s="46"/>
      <c r="AQ33" s="46"/>
      <c r="AR33" s="46"/>
      <c r="AS33" s="46"/>
      <c r="AT33" s="46"/>
      <c r="AU33" s="46"/>
      <c r="AV33" s="46"/>
    </row>
    <row r="34" spans="1:48" ht="14.25" x14ac:dyDescent="0.2">
      <c r="B34" s="87"/>
      <c r="C34" s="87"/>
      <c r="D34" s="343"/>
      <c r="E34" s="88"/>
      <c r="F34" s="343"/>
      <c r="G34" s="87"/>
      <c r="H34" s="343"/>
      <c r="I34" s="87"/>
      <c r="J34" s="343"/>
      <c r="K34" s="87"/>
      <c r="L34" s="343"/>
      <c r="M34" s="87"/>
      <c r="N34" s="343"/>
      <c r="O34" s="87"/>
      <c r="P34" s="344"/>
      <c r="Q34" s="87"/>
      <c r="R34" s="344"/>
      <c r="S34" s="344"/>
      <c r="T34" s="344"/>
      <c r="U34" s="344"/>
      <c r="V34" s="344"/>
      <c r="W34" s="344"/>
      <c r="X34" s="344"/>
      <c r="Y34" s="344"/>
      <c r="Z34" s="344"/>
      <c r="AI34" s="46"/>
      <c r="AJ34" s="46"/>
      <c r="AK34" s="46"/>
      <c r="AL34" s="46"/>
      <c r="AM34" s="46"/>
      <c r="AN34" s="46"/>
      <c r="AO34" s="46"/>
      <c r="AP34" s="46"/>
      <c r="AQ34" s="46"/>
      <c r="AR34" s="46"/>
      <c r="AS34" s="46"/>
      <c r="AT34" s="46"/>
      <c r="AU34" s="46"/>
      <c r="AV34" s="46"/>
    </row>
    <row r="35" spans="1:48" ht="14.25" x14ac:dyDescent="0.2">
      <c r="B35" s="87"/>
      <c r="C35" s="87"/>
      <c r="D35" s="343"/>
      <c r="E35" s="88"/>
      <c r="F35" s="343"/>
      <c r="G35" s="87"/>
      <c r="H35" s="343"/>
      <c r="I35" s="87"/>
      <c r="J35" s="343"/>
      <c r="K35" s="87"/>
      <c r="L35" s="343"/>
      <c r="M35" s="87"/>
      <c r="N35" s="343"/>
      <c r="O35" s="87"/>
      <c r="P35" s="344"/>
      <c r="Q35" s="87"/>
      <c r="R35" s="344"/>
      <c r="S35" s="344"/>
      <c r="T35" s="344"/>
      <c r="U35" s="344"/>
      <c r="V35" s="344"/>
      <c r="W35" s="344"/>
      <c r="X35" s="344"/>
      <c r="Y35" s="344"/>
      <c r="Z35" s="344"/>
      <c r="AI35" s="46"/>
      <c r="AJ35" s="46"/>
      <c r="AK35" s="46"/>
      <c r="AL35" s="46"/>
      <c r="AM35" s="46"/>
      <c r="AN35" s="46"/>
      <c r="AO35" s="46"/>
      <c r="AP35" s="46"/>
      <c r="AQ35" s="46"/>
      <c r="AR35" s="46"/>
      <c r="AS35" s="46"/>
      <c r="AT35" s="46"/>
      <c r="AU35" s="46"/>
      <c r="AV35" s="46"/>
    </row>
    <row r="36" spans="1:48" ht="14.25" x14ac:dyDescent="0.2">
      <c r="B36" s="87"/>
      <c r="C36" s="87"/>
      <c r="D36" s="343"/>
      <c r="E36" s="88"/>
      <c r="F36" s="343"/>
      <c r="G36" s="87"/>
      <c r="H36" s="343"/>
      <c r="I36" s="87"/>
      <c r="J36" s="343"/>
      <c r="K36" s="87"/>
      <c r="L36" s="343"/>
      <c r="M36" s="87"/>
      <c r="N36" s="343"/>
      <c r="O36" s="87"/>
      <c r="P36" s="344"/>
      <c r="Q36" s="87"/>
      <c r="R36" s="344"/>
      <c r="S36" s="344"/>
      <c r="T36" s="344"/>
      <c r="U36" s="344"/>
      <c r="V36" s="344"/>
      <c r="W36" s="344"/>
      <c r="X36" s="344"/>
      <c r="Y36" s="344"/>
      <c r="Z36" s="344"/>
      <c r="AI36" s="46"/>
      <c r="AJ36" s="46"/>
      <c r="AK36" s="46"/>
      <c r="AL36" s="46"/>
      <c r="AM36" s="46"/>
      <c r="AN36" s="46"/>
      <c r="AO36" s="46"/>
      <c r="AP36" s="46"/>
      <c r="AQ36" s="46"/>
      <c r="AR36" s="46"/>
      <c r="AS36" s="46"/>
      <c r="AT36" s="46"/>
      <c r="AU36" s="46"/>
      <c r="AV36" s="46"/>
    </row>
    <row r="37" spans="1:48" ht="14.25" x14ac:dyDescent="0.2">
      <c r="B37" s="87"/>
      <c r="C37" s="87"/>
      <c r="D37" s="343"/>
      <c r="E37" s="88"/>
      <c r="F37" s="343"/>
      <c r="G37" s="87"/>
      <c r="H37" s="343"/>
      <c r="I37" s="87"/>
      <c r="J37" s="343"/>
      <c r="K37" s="87"/>
      <c r="L37" s="343"/>
      <c r="M37" s="87"/>
      <c r="N37" s="343"/>
      <c r="O37" s="87"/>
      <c r="P37" s="344"/>
      <c r="Q37" s="87"/>
      <c r="R37" s="344"/>
      <c r="S37" s="344"/>
      <c r="T37" s="344"/>
      <c r="U37" s="344"/>
      <c r="V37" s="344"/>
      <c r="W37" s="344"/>
      <c r="X37" s="344"/>
      <c r="Y37" s="344"/>
      <c r="Z37" s="344"/>
      <c r="AI37" s="46"/>
      <c r="AJ37" s="46"/>
      <c r="AK37" s="46"/>
      <c r="AL37" s="46"/>
      <c r="AM37" s="46"/>
      <c r="AN37" s="46"/>
      <c r="AO37" s="46"/>
      <c r="AP37" s="46"/>
      <c r="AQ37" s="46"/>
      <c r="AR37" s="46"/>
      <c r="AS37" s="46"/>
      <c r="AT37" s="46"/>
      <c r="AU37" s="46"/>
      <c r="AV37" s="46"/>
    </row>
    <row r="38" spans="1:48" ht="14.25" x14ac:dyDescent="0.2">
      <c r="B38" s="87"/>
      <c r="C38" s="87"/>
      <c r="D38" s="343"/>
      <c r="E38" s="88"/>
      <c r="F38" s="343"/>
      <c r="G38" s="87"/>
      <c r="H38" s="343"/>
      <c r="I38" s="87"/>
      <c r="J38" s="343"/>
      <c r="K38" s="87"/>
      <c r="L38" s="343"/>
      <c r="M38" s="87"/>
      <c r="N38" s="343"/>
      <c r="O38" s="87"/>
      <c r="P38" s="344"/>
      <c r="Q38" s="87"/>
      <c r="R38" s="344"/>
      <c r="S38" s="344"/>
      <c r="T38" s="344"/>
      <c r="U38" s="344"/>
      <c r="V38" s="344"/>
      <c r="W38" s="344"/>
      <c r="X38" s="344"/>
      <c r="Y38" s="344"/>
      <c r="Z38" s="344"/>
      <c r="AI38" s="46"/>
      <c r="AJ38" s="46"/>
      <c r="AK38" s="46"/>
      <c r="AL38" s="46"/>
      <c r="AM38" s="46"/>
      <c r="AN38" s="46"/>
      <c r="AO38" s="46"/>
      <c r="AP38" s="46"/>
      <c r="AQ38" s="46"/>
      <c r="AR38" s="46"/>
      <c r="AS38" s="46"/>
      <c r="AT38" s="46"/>
      <c r="AU38" s="46"/>
      <c r="AV38" s="46"/>
    </row>
    <row r="39" spans="1:48" ht="14.25" x14ac:dyDescent="0.2">
      <c r="B39" s="87"/>
      <c r="C39" s="87"/>
      <c r="D39" s="343"/>
      <c r="E39" s="88"/>
      <c r="F39" s="343"/>
      <c r="G39" s="87"/>
      <c r="H39" s="343"/>
      <c r="I39" s="87"/>
      <c r="J39" s="343"/>
      <c r="K39" s="87"/>
      <c r="L39" s="343"/>
      <c r="M39" s="87"/>
      <c r="N39" s="343"/>
      <c r="O39" s="87"/>
      <c r="P39" s="344"/>
      <c r="Q39" s="87"/>
      <c r="R39" s="344"/>
      <c r="S39" s="344"/>
      <c r="T39" s="344"/>
      <c r="U39" s="344"/>
      <c r="V39" s="344"/>
      <c r="W39" s="344"/>
      <c r="X39" s="344"/>
      <c r="Y39" s="344"/>
      <c r="Z39" s="344"/>
      <c r="AI39" s="46"/>
      <c r="AJ39" s="46"/>
      <c r="AK39" s="46"/>
      <c r="AL39" s="46"/>
      <c r="AM39" s="46"/>
      <c r="AN39" s="46"/>
      <c r="AO39" s="46"/>
      <c r="AP39" s="46"/>
      <c r="AQ39" s="46"/>
      <c r="AR39" s="46"/>
      <c r="AS39" s="46"/>
      <c r="AT39" s="46"/>
      <c r="AU39" s="46"/>
      <c r="AV39" s="46"/>
    </row>
    <row r="40" spans="1:48" ht="14.25" x14ac:dyDescent="0.2">
      <c r="A40" s="41" t="s">
        <v>193</v>
      </c>
      <c r="B40" s="87"/>
      <c r="C40" s="87"/>
      <c r="D40" s="343"/>
      <c r="E40" s="88"/>
      <c r="F40" s="343"/>
      <c r="G40" s="87"/>
      <c r="H40" s="343"/>
      <c r="I40" s="87"/>
      <c r="J40" s="343"/>
      <c r="K40" s="87"/>
      <c r="L40" s="343"/>
      <c r="M40" s="87"/>
      <c r="N40" s="343"/>
      <c r="O40" s="87"/>
      <c r="P40" s="344"/>
      <c r="Q40" s="87"/>
      <c r="R40" s="344"/>
      <c r="S40" s="344"/>
      <c r="T40" s="344"/>
      <c r="U40" s="344"/>
      <c r="V40" s="344"/>
      <c r="W40" s="344"/>
      <c r="X40" s="344"/>
      <c r="Y40" s="344"/>
      <c r="Z40" s="344"/>
      <c r="AI40" s="46"/>
      <c r="AJ40" s="46"/>
      <c r="AK40" s="46"/>
      <c r="AL40" s="46"/>
      <c r="AM40" s="46"/>
      <c r="AN40" s="46"/>
      <c r="AO40" s="46"/>
      <c r="AP40" s="46"/>
      <c r="AQ40" s="46"/>
      <c r="AR40" s="46"/>
      <c r="AS40" s="46"/>
      <c r="AT40" s="46"/>
      <c r="AU40" s="46"/>
      <c r="AV40" s="46"/>
    </row>
    <row r="41" spans="1:48" ht="14.25" x14ac:dyDescent="0.2">
      <c r="A41" s="41" t="s">
        <v>194</v>
      </c>
      <c r="B41" s="87"/>
      <c r="C41" s="87"/>
      <c r="D41" s="343"/>
      <c r="E41" s="88"/>
      <c r="F41" s="343"/>
      <c r="G41" s="87"/>
      <c r="H41" s="343"/>
      <c r="I41" s="87"/>
      <c r="J41" s="343"/>
      <c r="K41" s="87"/>
      <c r="L41" s="343"/>
      <c r="M41" s="87"/>
      <c r="N41" s="343"/>
      <c r="O41" s="87"/>
      <c r="P41" s="344"/>
      <c r="Q41" s="87"/>
      <c r="R41" s="344"/>
      <c r="S41" s="344"/>
      <c r="T41" s="344"/>
      <c r="U41" s="344"/>
      <c r="V41" s="344"/>
      <c r="W41" s="344"/>
      <c r="X41" s="344"/>
      <c r="Y41" s="344"/>
      <c r="Z41" s="344"/>
      <c r="AI41" s="46"/>
      <c r="AJ41" s="46"/>
      <c r="AK41" s="46"/>
      <c r="AL41" s="46"/>
      <c r="AM41" s="46"/>
      <c r="AN41" s="46"/>
      <c r="AO41" s="46"/>
      <c r="AP41" s="46"/>
      <c r="AQ41" s="46"/>
      <c r="AR41" s="46"/>
      <c r="AS41" s="46"/>
      <c r="AT41" s="46"/>
      <c r="AU41" s="46"/>
      <c r="AV41" s="46"/>
    </row>
    <row r="42" spans="1:48" ht="14.25" x14ac:dyDescent="0.2">
      <c r="A42" s="41" t="s">
        <v>195</v>
      </c>
      <c r="B42" s="87"/>
      <c r="C42" s="87"/>
      <c r="D42" s="343"/>
      <c r="E42" s="88"/>
      <c r="F42" s="343"/>
      <c r="G42" s="87"/>
      <c r="H42" s="343"/>
      <c r="I42" s="87"/>
      <c r="J42" s="343"/>
      <c r="K42" s="87"/>
      <c r="L42" s="343"/>
      <c r="M42" s="87"/>
      <c r="N42" s="343"/>
      <c r="O42" s="87"/>
      <c r="P42" s="344"/>
      <c r="Q42" s="87"/>
      <c r="R42" s="344"/>
      <c r="S42" s="344"/>
      <c r="T42" s="344"/>
      <c r="U42" s="344"/>
      <c r="V42" s="344"/>
      <c r="W42" s="344"/>
      <c r="X42" s="344"/>
      <c r="Y42" s="344"/>
      <c r="Z42" s="344"/>
      <c r="AI42" s="46"/>
      <c r="AJ42" s="46"/>
      <c r="AK42" s="46"/>
      <c r="AL42" s="46"/>
      <c r="AM42" s="46"/>
      <c r="AN42" s="46"/>
      <c r="AO42" s="46"/>
      <c r="AP42" s="46"/>
      <c r="AQ42" s="46"/>
      <c r="AR42" s="46"/>
      <c r="AS42" s="46"/>
      <c r="AT42" s="46"/>
      <c r="AU42" s="46"/>
      <c r="AV42" s="46"/>
    </row>
    <row r="43" spans="1:48" ht="14.25" x14ac:dyDescent="0.2">
      <c r="A43" s="41" t="s">
        <v>196</v>
      </c>
      <c r="B43" s="87"/>
      <c r="C43" s="87"/>
      <c r="D43" s="343"/>
      <c r="E43" s="88"/>
      <c r="F43" s="343"/>
      <c r="G43" s="87"/>
      <c r="H43" s="343"/>
      <c r="I43" s="87"/>
      <c r="J43" s="343"/>
      <c r="K43" s="87"/>
      <c r="L43" s="343"/>
      <c r="M43" s="87"/>
      <c r="N43" s="343"/>
      <c r="O43" s="87"/>
      <c r="P43" s="344"/>
      <c r="Q43" s="87"/>
      <c r="R43" s="344"/>
      <c r="S43" s="344"/>
      <c r="T43" s="344"/>
      <c r="U43" s="344"/>
      <c r="V43" s="344"/>
      <c r="W43" s="344"/>
      <c r="X43" s="344"/>
      <c r="Y43" s="344"/>
      <c r="Z43" s="344"/>
      <c r="AI43" s="46"/>
      <c r="AJ43" s="46"/>
      <c r="AK43" s="46"/>
      <c r="AL43" s="46"/>
      <c r="AM43" s="46"/>
      <c r="AN43" s="46"/>
      <c r="AO43" s="46"/>
      <c r="AP43" s="46"/>
      <c r="AQ43" s="46"/>
      <c r="AR43" s="46"/>
      <c r="AS43" s="46"/>
      <c r="AT43" s="46"/>
      <c r="AU43" s="46"/>
      <c r="AV43" s="46"/>
    </row>
    <row r="44" spans="1:48" ht="14.25" x14ac:dyDescent="0.2">
      <c r="A44" s="41" t="s">
        <v>197</v>
      </c>
      <c r="B44" s="87"/>
      <c r="C44" s="87"/>
      <c r="D44" s="343"/>
      <c r="E44" s="88"/>
      <c r="F44" s="343"/>
      <c r="G44" s="87"/>
      <c r="H44" s="343"/>
      <c r="I44" s="87"/>
      <c r="J44" s="343"/>
      <c r="K44" s="87"/>
      <c r="L44" s="343"/>
      <c r="M44" s="87"/>
      <c r="N44" s="343"/>
      <c r="O44" s="87"/>
      <c r="P44" s="344"/>
      <c r="Q44" s="87"/>
      <c r="R44" s="344"/>
      <c r="S44" s="344"/>
      <c r="T44" s="344"/>
      <c r="U44" s="344"/>
      <c r="V44" s="344"/>
      <c r="W44" s="344"/>
      <c r="X44" s="344"/>
      <c r="Y44" s="344"/>
      <c r="Z44" s="344"/>
      <c r="AI44" s="46"/>
      <c r="AJ44" s="46"/>
      <c r="AK44" s="46"/>
      <c r="AL44" s="46"/>
      <c r="AM44" s="46"/>
      <c r="AN44" s="46"/>
      <c r="AO44" s="46"/>
      <c r="AP44" s="46"/>
      <c r="AQ44" s="46"/>
      <c r="AR44" s="46"/>
      <c r="AS44" s="46"/>
      <c r="AT44" s="46"/>
      <c r="AU44" s="46"/>
      <c r="AV44" s="46"/>
    </row>
    <row r="45" spans="1:48" ht="14.25" x14ac:dyDescent="0.2">
      <c r="A45" s="41" t="s">
        <v>198</v>
      </c>
      <c r="B45" s="87"/>
      <c r="C45" s="87"/>
      <c r="D45" s="343"/>
      <c r="E45" s="88"/>
      <c r="F45" s="343"/>
      <c r="G45" s="87"/>
      <c r="H45" s="343"/>
      <c r="I45" s="87"/>
      <c r="J45" s="343"/>
      <c r="K45" s="87"/>
      <c r="L45" s="343"/>
      <c r="M45" s="87"/>
      <c r="N45" s="343"/>
      <c r="O45" s="87"/>
      <c r="P45" s="344"/>
      <c r="Q45" s="87"/>
      <c r="R45" s="344"/>
      <c r="S45" s="344"/>
      <c r="T45" s="344"/>
      <c r="U45" s="344"/>
      <c r="V45" s="344"/>
      <c r="W45" s="344"/>
      <c r="X45" s="344"/>
      <c r="Y45" s="344"/>
      <c r="Z45" s="344"/>
      <c r="AI45" s="46"/>
      <c r="AJ45" s="46"/>
      <c r="AK45" s="46"/>
      <c r="AL45" s="46"/>
      <c r="AM45" s="46"/>
      <c r="AN45" s="46"/>
      <c r="AO45" s="46"/>
      <c r="AP45" s="46"/>
      <c r="AQ45" s="46"/>
      <c r="AR45" s="46"/>
      <c r="AS45" s="46"/>
      <c r="AT45" s="46"/>
      <c r="AU45" s="46"/>
      <c r="AV45" s="46"/>
    </row>
    <row r="46" spans="1:48" ht="14.25" x14ac:dyDescent="0.2">
      <c r="A46" s="41" t="s">
        <v>199</v>
      </c>
      <c r="B46" s="87"/>
      <c r="C46" s="342"/>
      <c r="D46" s="343"/>
      <c r="E46" s="88"/>
      <c r="F46" s="343"/>
      <c r="G46" s="87"/>
      <c r="H46" s="343"/>
      <c r="I46" s="87"/>
      <c r="J46" s="343"/>
      <c r="K46" s="87"/>
      <c r="L46" s="343"/>
      <c r="M46" s="87"/>
      <c r="N46" s="343"/>
      <c r="O46" s="87"/>
      <c r="P46" s="344"/>
      <c r="Q46" s="87"/>
      <c r="R46" s="344"/>
      <c r="S46" s="344"/>
      <c r="T46" s="344"/>
      <c r="U46" s="344"/>
      <c r="V46" s="344"/>
      <c r="W46" s="344"/>
      <c r="X46" s="344"/>
      <c r="Y46" s="344"/>
      <c r="Z46" s="344"/>
      <c r="AI46" s="46"/>
      <c r="AJ46" s="46"/>
      <c r="AK46" s="46"/>
      <c r="AL46" s="46"/>
      <c r="AM46" s="46"/>
      <c r="AN46" s="46"/>
      <c r="AO46" s="46"/>
      <c r="AP46" s="46"/>
      <c r="AQ46" s="46"/>
      <c r="AR46" s="46"/>
      <c r="AS46" s="46"/>
      <c r="AT46" s="46"/>
      <c r="AU46" s="46"/>
      <c r="AV46" s="46"/>
    </row>
    <row r="47" spans="1:48" ht="14.25" x14ac:dyDescent="0.2">
      <c r="A47" s="41" t="s">
        <v>200</v>
      </c>
      <c r="B47" s="87"/>
      <c r="C47" s="87"/>
      <c r="D47" s="343"/>
      <c r="E47" s="88"/>
      <c r="F47" s="343"/>
      <c r="G47" s="87"/>
      <c r="H47" s="343"/>
      <c r="I47" s="87"/>
      <c r="J47" s="343"/>
      <c r="K47" s="87"/>
      <c r="L47" s="343"/>
      <c r="M47" s="87"/>
      <c r="N47" s="343"/>
      <c r="O47" s="87"/>
      <c r="P47" s="344"/>
      <c r="Q47" s="87"/>
      <c r="R47" s="344"/>
      <c r="S47" s="344"/>
      <c r="T47" s="344"/>
      <c r="U47" s="344"/>
      <c r="V47" s="344"/>
      <c r="W47" s="344"/>
      <c r="X47" s="344"/>
      <c r="Y47" s="344"/>
      <c r="Z47" s="344"/>
      <c r="AI47" s="46"/>
      <c r="AJ47" s="46"/>
      <c r="AK47" s="46"/>
      <c r="AL47" s="46"/>
      <c r="AM47" s="46"/>
      <c r="AN47" s="46"/>
      <c r="AO47" s="46"/>
      <c r="AP47" s="46"/>
      <c r="AQ47" s="46"/>
      <c r="AR47" s="46"/>
      <c r="AS47" s="46"/>
      <c r="AT47" s="46"/>
      <c r="AU47" s="46"/>
      <c r="AV47" s="46"/>
    </row>
    <row r="48" spans="1:48" x14ac:dyDescent="0.2">
      <c r="B48" s="44"/>
      <c r="C48" s="44"/>
      <c r="D48" s="366"/>
      <c r="E48" s="44"/>
      <c r="F48" s="366"/>
      <c r="G48" s="44"/>
      <c r="H48" s="366"/>
      <c r="I48" s="44"/>
      <c r="J48" s="366"/>
      <c r="K48" s="44"/>
      <c r="L48" s="366"/>
      <c r="M48" s="44"/>
      <c r="N48" s="366"/>
      <c r="O48" s="44"/>
      <c r="P48" s="367"/>
      <c r="Q48" s="44"/>
      <c r="R48" s="367"/>
      <c r="S48" s="367"/>
      <c r="T48" s="367"/>
      <c r="U48" s="367"/>
      <c r="V48" s="367"/>
      <c r="W48" s="367"/>
      <c r="X48" s="367"/>
      <c r="Y48" s="367"/>
      <c r="Z48" s="367"/>
      <c r="AA48" s="44"/>
      <c r="AB48" s="44"/>
      <c r="AC48" s="44"/>
      <c r="AD48" s="44"/>
      <c r="AE48" s="44"/>
      <c r="AF48" s="46"/>
      <c r="AG48" s="46"/>
      <c r="AH48" s="46"/>
      <c r="AI48" s="46"/>
      <c r="AJ48" s="46"/>
      <c r="AK48" s="46"/>
      <c r="AL48" s="46"/>
      <c r="AM48" s="46"/>
      <c r="AN48" s="46"/>
      <c r="AO48" s="46"/>
      <c r="AP48" s="46"/>
      <c r="AQ48" s="46"/>
      <c r="AR48" s="46"/>
      <c r="AS48" s="46"/>
      <c r="AT48" s="46"/>
      <c r="AU48" s="46"/>
      <c r="AV48" s="46"/>
    </row>
    <row r="49" spans="2:48" x14ac:dyDescent="0.2">
      <c r="B49" s="44"/>
      <c r="C49" s="44"/>
      <c r="D49" s="366"/>
      <c r="E49" s="44"/>
      <c r="F49" s="366"/>
      <c r="G49" s="44"/>
      <c r="H49" s="366"/>
      <c r="I49" s="44"/>
      <c r="J49" s="366"/>
      <c r="K49" s="44"/>
      <c r="L49" s="366"/>
      <c r="M49" s="44"/>
      <c r="N49" s="366"/>
      <c r="O49" s="44"/>
      <c r="P49" s="367"/>
      <c r="Q49" s="44"/>
      <c r="R49" s="367"/>
      <c r="S49" s="367"/>
      <c r="T49" s="367"/>
      <c r="U49" s="367"/>
      <c r="V49" s="367"/>
      <c r="W49" s="367"/>
      <c r="X49" s="367"/>
      <c r="Y49" s="367"/>
      <c r="Z49" s="367"/>
      <c r="AA49" s="44"/>
      <c r="AB49" s="44"/>
      <c r="AC49" s="44"/>
      <c r="AD49" s="44"/>
      <c r="AE49" s="44"/>
      <c r="AF49" s="44"/>
      <c r="AG49" s="44"/>
      <c r="AH49" s="46"/>
      <c r="AI49" s="46"/>
      <c r="AJ49" s="46"/>
      <c r="AK49" s="46"/>
      <c r="AL49" s="46"/>
      <c r="AM49" s="46"/>
      <c r="AN49" s="46"/>
      <c r="AO49" s="46"/>
      <c r="AP49" s="46"/>
      <c r="AQ49" s="46"/>
      <c r="AR49" s="46"/>
      <c r="AS49" s="46"/>
      <c r="AT49" s="46"/>
      <c r="AU49" s="46"/>
      <c r="AV49" s="46"/>
    </row>
    <row r="50" spans="2:48" x14ac:dyDescent="0.2">
      <c r="B50" s="44"/>
      <c r="C50" s="44"/>
      <c r="D50" s="366"/>
      <c r="E50" s="44"/>
      <c r="F50" s="366"/>
      <c r="G50" s="44"/>
      <c r="H50" s="366"/>
      <c r="I50" s="44"/>
      <c r="J50" s="366"/>
      <c r="K50" s="44"/>
      <c r="L50" s="366"/>
      <c r="M50" s="44"/>
      <c r="N50" s="366"/>
      <c r="P50" s="367"/>
      <c r="R50" s="367"/>
      <c r="S50" s="367"/>
      <c r="T50" s="367"/>
      <c r="U50" s="367"/>
      <c r="V50" s="367"/>
      <c r="W50" s="367"/>
      <c r="X50" s="367"/>
      <c r="Y50" s="367"/>
      <c r="Z50" s="367"/>
      <c r="AA50" s="44"/>
      <c r="AB50" s="44"/>
      <c r="AC50" s="44"/>
      <c r="AD50" s="44"/>
      <c r="AE50" s="44"/>
      <c r="AF50" s="44"/>
      <c r="AG50" s="44"/>
      <c r="AH50" s="46"/>
      <c r="AI50" s="46"/>
      <c r="AJ50" s="46"/>
      <c r="AK50" s="46"/>
      <c r="AL50" s="46"/>
      <c r="AM50" s="46"/>
      <c r="AN50" s="46"/>
      <c r="AO50" s="46"/>
      <c r="AP50" s="46"/>
      <c r="AQ50" s="46"/>
      <c r="AR50" s="46"/>
      <c r="AS50" s="46"/>
      <c r="AT50" s="46"/>
      <c r="AU50" s="46"/>
      <c r="AV50" s="46"/>
    </row>
    <row r="51" spans="2:48" x14ac:dyDescent="0.2">
      <c r="B51" s="44"/>
      <c r="C51" s="44"/>
      <c r="D51" s="366"/>
      <c r="E51" s="44"/>
      <c r="F51" s="366"/>
      <c r="G51" s="44"/>
      <c r="H51" s="366"/>
      <c r="I51" s="44"/>
      <c r="J51" s="366"/>
      <c r="K51" s="44"/>
      <c r="L51" s="366"/>
      <c r="M51" s="44"/>
      <c r="N51" s="366"/>
      <c r="P51" s="367"/>
      <c r="R51" s="367"/>
      <c r="S51" s="367"/>
      <c r="T51" s="367"/>
      <c r="U51" s="367"/>
      <c r="V51" s="367"/>
      <c r="W51" s="367"/>
      <c r="X51" s="367"/>
      <c r="Y51" s="367"/>
      <c r="Z51" s="367"/>
      <c r="AA51" s="44"/>
      <c r="AB51" s="44"/>
      <c r="AC51" s="44"/>
      <c r="AD51" s="44"/>
      <c r="AE51" s="44"/>
      <c r="AF51" s="44"/>
      <c r="AG51" s="44"/>
      <c r="AH51" s="46"/>
      <c r="AI51" s="46"/>
      <c r="AJ51" s="46"/>
      <c r="AK51" s="46"/>
      <c r="AL51" s="46"/>
      <c r="AM51" s="46"/>
      <c r="AN51" s="46"/>
      <c r="AO51" s="46"/>
      <c r="AP51" s="46"/>
      <c r="AQ51" s="46"/>
      <c r="AR51" s="46"/>
      <c r="AS51" s="46"/>
      <c r="AT51" s="46"/>
      <c r="AU51" s="46"/>
      <c r="AV51" s="46"/>
    </row>
    <row r="61" spans="2:48" x14ac:dyDescent="0.2">
      <c r="B61" s="49" t="s">
        <v>117</v>
      </c>
      <c r="S61" s="49" t="s">
        <v>119</v>
      </c>
    </row>
    <row r="62" spans="2:48" x14ac:dyDescent="0.2">
      <c r="B62" s="41" t="s">
        <v>242</v>
      </c>
      <c r="S62" s="49" t="s">
        <v>120</v>
      </c>
    </row>
    <row r="63" spans="2:48" x14ac:dyDescent="0.2">
      <c r="B63" s="41" t="s">
        <v>118</v>
      </c>
      <c r="S63" s="41" t="s">
        <v>121</v>
      </c>
    </row>
    <row r="66" spans="2:26" ht="15" x14ac:dyDescent="0.25">
      <c r="B66" s="304" t="s">
        <v>126</v>
      </c>
      <c r="C66" s="304"/>
    </row>
    <row r="67" spans="2:26" ht="15" x14ac:dyDescent="0.25">
      <c r="B67" s="304"/>
      <c r="C67" s="304"/>
    </row>
    <row r="69" spans="2:26" x14ac:dyDescent="0.2">
      <c r="B69" s="87" t="s">
        <v>19</v>
      </c>
      <c r="C69" s="342" t="s">
        <v>25</v>
      </c>
      <c r="S69" s="49" t="s">
        <v>209</v>
      </c>
    </row>
    <row r="70" spans="2:26" x14ac:dyDescent="0.2">
      <c r="B70" s="87"/>
      <c r="C70" s="342" t="s">
        <v>244</v>
      </c>
      <c r="S70" s="369" t="s">
        <v>36</v>
      </c>
    </row>
    <row r="71" spans="2:26" ht="14.25" x14ac:dyDescent="0.2">
      <c r="B71" s="87"/>
      <c r="C71" s="368" t="s">
        <v>18</v>
      </c>
      <c r="S71" s="41"/>
      <c r="T71" s="41"/>
      <c r="U71" s="41"/>
      <c r="V71" s="41"/>
      <c r="W71" s="41"/>
      <c r="X71" s="41"/>
      <c r="Y71" s="41"/>
      <c r="Z71" s="41"/>
    </row>
    <row r="72" spans="2:26" x14ac:dyDescent="0.2">
      <c r="B72" s="87" t="s">
        <v>22</v>
      </c>
      <c r="C72" s="342" t="s">
        <v>26</v>
      </c>
      <c r="S72" s="342" t="s">
        <v>122</v>
      </c>
    </row>
    <row r="73" spans="2:26" x14ac:dyDescent="0.2">
      <c r="B73" s="87"/>
      <c r="C73" s="342" t="s">
        <v>27</v>
      </c>
      <c r="S73" s="49" t="s">
        <v>123</v>
      </c>
    </row>
    <row r="74" spans="2:26" x14ac:dyDescent="0.2">
      <c r="B74" s="87"/>
      <c r="C74" s="342" t="s">
        <v>28</v>
      </c>
      <c r="S74" s="342" t="s">
        <v>124</v>
      </c>
    </row>
    <row r="75" spans="2:26" x14ac:dyDescent="0.2">
      <c r="B75" s="87" t="s">
        <v>20</v>
      </c>
      <c r="C75" s="342" t="s">
        <v>29</v>
      </c>
      <c r="S75" s="342" t="s">
        <v>125</v>
      </c>
    </row>
    <row r="76" spans="2:26" x14ac:dyDescent="0.2">
      <c r="B76" s="87"/>
      <c r="C76" s="342" t="s">
        <v>30</v>
      </c>
      <c r="S76" s="41"/>
    </row>
    <row r="77" spans="2:26" x14ac:dyDescent="0.2">
      <c r="B77" s="87"/>
      <c r="C77" s="342" t="s">
        <v>243</v>
      </c>
      <c r="S77" s="342"/>
    </row>
    <row r="78" spans="2:26" x14ac:dyDescent="0.2">
      <c r="B78" s="87" t="s">
        <v>24</v>
      </c>
      <c r="C78" s="342" t="s">
        <v>31</v>
      </c>
      <c r="S78" s="41"/>
    </row>
    <row r="79" spans="2:26" x14ac:dyDescent="0.2">
      <c r="B79" s="87"/>
      <c r="C79" s="342" t="s">
        <v>31</v>
      </c>
      <c r="S79" s="41"/>
    </row>
    <row r="80" spans="2:26" x14ac:dyDescent="0.2">
      <c r="B80" s="87" t="s">
        <v>23</v>
      </c>
      <c r="C80" s="342" t="s">
        <v>32</v>
      </c>
    </row>
    <row r="81" spans="2:3" x14ac:dyDescent="0.2">
      <c r="B81" s="87"/>
      <c r="C81" s="342" t="s">
        <v>33</v>
      </c>
    </row>
    <row r="82" spans="2:3" x14ac:dyDescent="0.2">
      <c r="B82" s="87" t="s">
        <v>21</v>
      </c>
      <c r="C82" s="342" t="s">
        <v>34</v>
      </c>
    </row>
    <row r="83" spans="2:3" x14ac:dyDescent="0.2">
      <c r="B83" s="87"/>
      <c r="C83" s="342" t="s">
        <v>35</v>
      </c>
    </row>
    <row r="84" spans="2:3" x14ac:dyDescent="0.2">
      <c r="B84" s="87"/>
      <c r="C84" s="342"/>
    </row>
    <row r="85" spans="2:3" x14ac:dyDescent="0.2">
      <c r="B85" s="87"/>
    </row>
    <row r="86" spans="2:3" x14ac:dyDescent="0.2">
      <c r="B86" s="87"/>
    </row>
    <row r="87" spans="2:3" x14ac:dyDescent="0.2">
      <c r="B87" s="87"/>
    </row>
    <row r="88" spans="2:3" x14ac:dyDescent="0.2">
      <c r="B88" s="87"/>
    </row>
    <row r="89" spans="2:3" x14ac:dyDescent="0.2">
      <c r="B89" s="87"/>
    </row>
    <row r="90" spans="2:3" x14ac:dyDescent="0.2">
      <c r="B90" s="87"/>
    </row>
  </sheetData>
  <customSheetViews>
    <customSheetView guid="{09E562D2-D560-4B45-A29C-3521ECE58314}">
      <pageMargins left="0.78740157499999996" right="0.78740157499999996" top="0.984251969" bottom="0.984251969" header="0.4921259845" footer="0.4921259845"/>
      <headerFooter alignWithMargins="0"/>
    </customSheetView>
  </customSheetViews>
  <mergeCells count="21">
    <mergeCell ref="M2:N3"/>
    <mergeCell ref="Q2:R2"/>
    <mergeCell ref="O2:P2"/>
    <mergeCell ref="AA2:AB2"/>
    <mergeCell ref="AA3:AB3"/>
    <mergeCell ref="B2:B3"/>
    <mergeCell ref="S2:T2"/>
    <mergeCell ref="U2:V2"/>
    <mergeCell ref="W2:X2"/>
    <mergeCell ref="Y2:Z2"/>
    <mergeCell ref="S3:T3"/>
    <mergeCell ref="U3:V3"/>
    <mergeCell ref="W3:X3"/>
    <mergeCell ref="Y3:Z3"/>
    <mergeCell ref="C2:D3"/>
    <mergeCell ref="E2:F3"/>
    <mergeCell ref="G2:H3"/>
    <mergeCell ref="I2:J3"/>
    <mergeCell ref="O3:P3"/>
    <mergeCell ref="Q3:R3"/>
    <mergeCell ref="K2:L3"/>
  </mergeCells>
  <phoneticPr fontId="1" type="noConversion"/>
  <hyperlinks>
    <hyperlink ref="S70" r:id="rId1"/>
  </hyperlinks>
  <pageMargins left="0.78740157499999996" right="0.78740157499999996" top="0.984251969" bottom="0.984251969" header="0.4921259845" footer="0.4921259845"/>
  <pageSetup paperSize="9" orientation="portrait" r:id="rId2"/>
  <headerFooter alignWithMargins="0"/>
  <drawing r:id="rId3"/>
  <legacy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W260"/>
  <sheetViews>
    <sheetView zoomScale="120" zoomScaleNormal="120" workbookViewId="0">
      <pane xSplit="1" topLeftCell="B1" activePane="topRight" state="frozen"/>
      <selection pane="topRight" activeCell="A140" sqref="A140"/>
    </sheetView>
  </sheetViews>
  <sheetFormatPr baseColWidth="10" defaultRowHeight="12.75" x14ac:dyDescent="0.2"/>
  <cols>
    <col min="1" max="1" width="43.42578125" style="44" customWidth="1"/>
    <col min="2" max="3" width="8.140625" style="43" customWidth="1"/>
    <col min="4" max="5" width="8.140625" style="44" customWidth="1"/>
    <col min="6" max="9" width="9.5703125" style="44" customWidth="1"/>
    <col min="10" max="20" width="9.85546875" style="44" customWidth="1"/>
    <col min="21" max="21" width="2.140625" style="44" customWidth="1"/>
    <col min="22" max="24" width="11.140625" style="44" customWidth="1"/>
    <col min="25" max="25" width="2.140625" style="45" customWidth="1"/>
    <col min="26" max="26" width="10.7109375" style="44" customWidth="1"/>
    <col min="27" max="27" width="2.140625" style="45" customWidth="1"/>
    <col min="28" max="42" width="10.7109375" style="46" customWidth="1"/>
    <col min="43" max="47" width="10.7109375" style="41" customWidth="1"/>
    <col min="48" max="48" width="2.140625" style="45" customWidth="1"/>
    <col min="49" max="63" width="10.7109375" style="46" customWidth="1"/>
    <col min="64" max="68" width="10.7109375" style="41" customWidth="1"/>
    <col min="69" max="69" width="2.140625" style="45" customWidth="1"/>
    <col min="70" max="84" width="10.7109375" style="46" customWidth="1"/>
    <col min="85" max="89" width="10.7109375" style="41" customWidth="1"/>
    <col min="90" max="16384" width="11.42578125" style="41"/>
  </cols>
  <sheetData>
    <row r="1" spans="1:179" s="46" customFormat="1" ht="10.5" customHeight="1" x14ac:dyDescent="0.2">
      <c r="A1" s="661" t="s">
        <v>127</v>
      </c>
      <c r="B1" s="663" t="s">
        <v>128</v>
      </c>
      <c r="C1" s="664"/>
      <c r="D1" s="665" t="s">
        <v>108</v>
      </c>
      <c r="E1" s="666"/>
      <c r="F1" s="654" t="s">
        <v>161</v>
      </c>
      <c r="G1" s="655"/>
      <c r="H1" s="655"/>
      <c r="I1" s="656"/>
      <c r="J1" s="90">
        <v>2020</v>
      </c>
      <c r="K1" s="654" t="s">
        <v>185</v>
      </c>
      <c r="L1" s="655"/>
      <c r="M1" s="655"/>
      <c r="N1" s="656"/>
      <c r="O1" s="90">
        <v>2021</v>
      </c>
      <c r="P1" s="654" t="s">
        <v>233</v>
      </c>
      <c r="Q1" s="655"/>
      <c r="R1" s="655"/>
      <c r="S1" s="656"/>
      <c r="T1" s="91">
        <v>2022</v>
      </c>
      <c r="U1" s="94"/>
      <c r="V1" s="644">
        <v>2023</v>
      </c>
      <c r="W1" s="645">
        <v>2024</v>
      </c>
      <c r="X1" s="646">
        <v>2025</v>
      </c>
      <c r="Y1" s="94"/>
      <c r="Z1" s="566" t="s">
        <v>238</v>
      </c>
      <c r="AA1" s="603"/>
      <c r="AB1" s="602">
        <v>2020</v>
      </c>
      <c r="AC1" s="95">
        <v>2020</v>
      </c>
      <c r="AD1" s="95">
        <v>2020</v>
      </c>
      <c r="AE1" s="90" t="s">
        <v>9</v>
      </c>
      <c r="AF1" s="584" t="s">
        <v>9</v>
      </c>
      <c r="AG1" s="602">
        <v>2020</v>
      </c>
      <c r="AH1" s="95">
        <v>2020</v>
      </c>
      <c r="AI1" s="95">
        <v>2020</v>
      </c>
      <c r="AJ1" s="90" t="s">
        <v>8</v>
      </c>
      <c r="AK1" s="584" t="s">
        <v>8</v>
      </c>
      <c r="AL1" s="602">
        <v>2020</v>
      </c>
      <c r="AM1" s="95">
        <v>2020</v>
      </c>
      <c r="AN1" s="95">
        <v>2020</v>
      </c>
      <c r="AO1" s="90" t="s">
        <v>11</v>
      </c>
      <c r="AP1" s="584" t="s">
        <v>11</v>
      </c>
      <c r="AQ1" s="602">
        <v>2020</v>
      </c>
      <c r="AR1" s="95">
        <v>2020</v>
      </c>
      <c r="AS1" s="95">
        <v>2020</v>
      </c>
      <c r="AT1" s="90" t="s">
        <v>12</v>
      </c>
      <c r="AU1" s="584" t="s">
        <v>12</v>
      </c>
      <c r="AV1" s="603"/>
      <c r="AW1" s="602">
        <v>2021</v>
      </c>
      <c r="AX1" s="96">
        <v>2021</v>
      </c>
      <c r="AY1" s="96">
        <v>2021</v>
      </c>
      <c r="AZ1" s="90" t="s">
        <v>188</v>
      </c>
      <c r="BA1" s="584" t="s">
        <v>188</v>
      </c>
      <c r="BB1" s="602">
        <v>2021</v>
      </c>
      <c r="BC1" s="96">
        <v>2021</v>
      </c>
      <c r="BD1" s="96">
        <v>2021</v>
      </c>
      <c r="BE1" s="90" t="s">
        <v>189</v>
      </c>
      <c r="BF1" s="584" t="s">
        <v>189</v>
      </c>
      <c r="BG1" s="602">
        <v>2021</v>
      </c>
      <c r="BH1" s="96">
        <v>2021</v>
      </c>
      <c r="BI1" s="96">
        <v>2021</v>
      </c>
      <c r="BJ1" s="90" t="s">
        <v>190</v>
      </c>
      <c r="BK1" s="584" t="s">
        <v>190</v>
      </c>
      <c r="BL1" s="586">
        <v>2021</v>
      </c>
      <c r="BM1" s="97">
        <v>2021</v>
      </c>
      <c r="BN1" s="97">
        <v>2021</v>
      </c>
      <c r="BO1" s="90" t="s">
        <v>187</v>
      </c>
      <c r="BP1" s="584" t="s">
        <v>187</v>
      </c>
      <c r="BQ1" s="94"/>
      <c r="BR1" s="586">
        <v>2022</v>
      </c>
      <c r="BS1" s="97">
        <v>2022</v>
      </c>
      <c r="BT1" s="97">
        <v>2022</v>
      </c>
      <c r="BU1" s="90" t="s">
        <v>234</v>
      </c>
      <c r="BV1" s="584" t="s">
        <v>234</v>
      </c>
      <c r="BW1" s="586">
        <v>2022</v>
      </c>
      <c r="BX1" s="97">
        <v>2022</v>
      </c>
      <c r="BY1" s="97">
        <v>2022</v>
      </c>
      <c r="BZ1" s="90" t="s">
        <v>235</v>
      </c>
      <c r="CA1" s="584" t="s">
        <v>235</v>
      </c>
      <c r="CB1" s="586">
        <v>2022</v>
      </c>
      <c r="CC1" s="97">
        <v>2022</v>
      </c>
      <c r="CD1" s="97">
        <v>2022</v>
      </c>
      <c r="CE1" s="90" t="s">
        <v>236</v>
      </c>
      <c r="CF1" s="584" t="s">
        <v>236</v>
      </c>
      <c r="CG1" s="586">
        <v>2022</v>
      </c>
      <c r="CH1" s="97">
        <v>2022</v>
      </c>
      <c r="CI1" s="97">
        <v>2022</v>
      </c>
      <c r="CJ1" s="90" t="s">
        <v>237</v>
      </c>
      <c r="CK1" s="584" t="s">
        <v>237</v>
      </c>
    </row>
    <row r="2" spans="1:179" s="46" customFormat="1" ht="10.5" customHeight="1" thickBot="1" x14ac:dyDescent="0.25">
      <c r="A2" s="662"/>
      <c r="B2" s="755" t="s">
        <v>110</v>
      </c>
      <c r="C2" s="756"/>
      <c r="D2" s="659" t="s">
        <v>129</v>
      </c>
      <c r="E2" s="660"/>
      <c r="F2" s="98" t="s">
        <v>215</v>
      </c>
      <c r="G2" s="99" t="s">
        <v>216</v>
      </c>
      <c r="H2" s="99" t="s">
        <v>6</v>
      </c>
      <c r="I2" s="100" t="s">
        <v>7</v>
      </c>
      <c r="J2" s="101" t="s">
        <v>162</v>
      </c>
      <c r="K2" s="98" t="s">
        <v>4</v>
      </c>
      <c r="L2" s="99" t="s">
        <v>5</v>
      </c>
      <c r="M2" s="99" t="s">
        <v>6</v>
      </c>
      <c r="N2" s="100" t="s">
        <v>7</v>
      </c>
      <c r="O2" s="101" t="s">
        <v>162</v>
      </c>
      <c r="P2" s="98" t="s">
        <v>4</v>
      </c>
      <c r="Q2" s="99" t="s">
        <v>5</v>
      </c>
      <c r="R2" s="99" t="s">
        <v>6</v>
      </c>
      <c r="S2" s="100" t="s">
        <v>7</v>
      </c>
      <c r="T2" s="102" t="s">
        <v>162</v>
      </c>
      <c r="U2" s="563"/>
      <c r="V2" s="667" t="s">
        <v>186</v>
      </c>
      <c r="W2" s="668"/>
      <c r="X2" s="669"/>
      <c r="Y2" s="103"/>
      <c r="Z2" s="565" t="s">
        <v>163</v>
      </c>
      <c r="AA2" s="604"/>
      <c r="AB2" s="587" t="s">
        <v>164</v>
      </c>
      <c r="AC2" s="104" t="s">
        <v>172</v>
      </c>
      <c r="AD2" s="104" t="s">
        <v>165</v>
      </c>
      <c r="AE2" s="105" t="s">
        <v>171</v>
      </c>
      <c r="AF2" s="585" t="s">
        <v>10</v>
      </c>
      <c r="AG2" s="587" t="s">
        <v>0</v>
      </c>
      <c r="AH2" s="104" t="s">
        <v>166</v>
      </c>
      <c r="AI2" s="104" t="s">
        <v>167</v>
      </c>
      <c r="AJ2" s="105" t="s">
        <v>171</v>
      </c>
      <c r="AK2" s="585" t="s">
        <v>10</v>
      </c>
      <c r="AL2" s="587" t="s">
        <v>168</v>
      </c>
      <c r="AM2" s="104" t="s">
        <v>1</v>
      </c>
      <c r="AN2" s="104" t="s">
        <v>2</v>
      </c>
      <c r="AO2" s="105" t="s">
        <v>171</v>
      </c>
      <c r="AP2" s="585" t="s">
        <v>10</v>
      </c>
      <c r="AQ2" s="587" t="s">
        <v>169</v>
      </c>
      <c r="AR2" s="104" t="s">
        <v>3</v>
      </c>
      <c r="AS2" s="104" t="s">
        <v>170</v>
      </c>
      <c r="AT2" s="105" t="s">
        <v>171</v>
      </c>
      <c r="AU2" s="585" t="s">
        <v>10</v>
      </c>
      <c r="AV2" s="604"/>
      <c r="AW2" s="587" t="s">
        <v>164</v>
      </c>
      <c r="AX2" s="104" t="s">
        <v>172</v>
      </c>
      <c r="AY2" s="104" t="s">
        <v>165</v>
      </c>
      <c r="AZ2" s="105" t="s">
        <v>171</v>
      </c>
      <c r="BA2" s="585" t="s">
        <v>10</v>
      </c>
      <c r="BB2" s="587" t="s">
        <v>0</v>
      </c>
      <c r="BC2" s="104" t="s">
        <v>166</v>
      </c>
      <c r="BD2" s="104" t="s">
        <v>167</v>
      </c>
      <c r="BE2" s="105" t="s">
        <v>171</v>
      </c>
      <c r="BF2" s="585" t="s">
        <v>10</v>
      </c>
      <c r="BG2" s="587" t="s">
        <v>168</v>
      </c>
      <c r="BH2" s="104" t="s">
        <v>1</v>
      </c>
      <c r="BI2" s="104" t="s">
        <v>2</v>
      </c>
      <c r="BJ2" s="105" t="s">
        <v>171</v>
      </c>
      <c r="BK2" s="585" t="s">
        <v>10</v>
      </c>
      <c r="BL2" s="587" t="s">
        <v>169</v>
      </c>
      <c r="BM2" s="104" t="s">
        <v>3</v>
      </c>
      <c r="BN2" s="104" t="s">
        <v>170</v>
      </c>
      <c r="BO2" s="105" t="s">
        <v>171</v>
      </c>
      <c r="BP2" s="585" t="s">
        <v>10</v>
      </c>
      <c r="BQ2" s="103"/>
      <c r="BR2" s="587" t="s">
        <v>164</v>
      </c>
      <c r="BS2" s="104" t="s">
        <v>172</v>
      </c>
      <c r="BT2" s="104" t="s">
        <v>165</v>
      </c>
      <c r="BU2" s="105" t="s">
        <v>171</v>
      </c>
      <c r="BV2" s="585" t="s">
        <v>10</v>
      </c>
      <c r="BW2" s="587" t="s">
        <v>0</v>
      </c>
      <c r="BX2" s="104" t="s">
        <v>166</v>
      </c>
      <c r="BY2" s="104" t="s">
        <v>167</v>
      </c>
      <c r="BZ2" s="105" t="s">
        <v>171</v>
      </c>
      <c r="CA2" s="585" t="s">
        <v>10</v>
      </c>
      <c r="CB2" s="587" t="s">
        <v>168</v>
      </c>
      <c r="CC2" s="104" t="s">
        <v>1</v>
      </c>
      <c r="CD2" s="104" t="s">
        <v>2</v>
      </c>
      <c r="CE2" s="105" t="s">
        <v>171</v>
      </c>
      <c r="CF2" s="585" t="s">
        <v>10</v>
      </c>
      <c r="CG2" s="587" t="s">
        <v>169</v>
      </c>
      <c r="CH2" s="104" t="s">
        <v>3</v>
      </c>
      <c r="CI2" s="104" t="s">
        <v>170</v>
      </c>
      <c r="CJ2" s="105" t="s">
        <v>171</v>
      </c>
      <c r="CK2" s="585" t="s">
        <v>10</v>
      </c>
    </row>
    <row r="3" spans="1:179" s="116" customFormat="1" ht="10.5" customHeight="1" x14ac:dyDescent="0.15">
      <c r="A3" s="467" t="s">
        <v>212</v>
      </c>
      <c r="B3" s="106"/>
      <c r="C3" s="107"/>
      <c r="D3" s="106"/>
      <c r="E3" s="108"/>
      <c r="F3" s="478"/>
      <c r="G3" s="479"/>
      <c r="H3" s="479"/>
      <c r="I3" s="479"/>
      <c r="J3" s="109"/>
      <c r="K3" s="479"/>
      <c r="L3" s="479"/>
      <c r="M3" s="479"/>
      <c r="N3" s="479"/>
      <c r="O3" s="110"/>
      <c r="P3" s="479"/>
      <c r="Q3" s="479"/>
      <c r="R3" s="479"/>
      <c r="S3" s="479"/>
      <c r="T3" s="111"/>
      <c r="U3" s="114"/>
      <c r="V3" s="112"/>
      <c r="W3" s="109"/>
      <c r="X3" s="113"/>
      <c r="Y3" s="114"/>
      <c r="Z3" s="567"/>
      <c r="AA3" s="605"/>
      <c r="AB3" s="478"/>
      <c r="AC3" s="479"/>
      <c r="AD3" s="479"/>
      <c r="AE3" s="479"/>
      <c r="AF3" s="115"/>
      <c r="AG3" s="478"/>
      <c r="AH3" s="479"/>
      <c r="AI3" s="479"/>
      <c r="AJ3" s="479"/>
      <c r="AK3" s="115"/>
      <c r="AL3" s="478"/>
      <c r="AM3" s="479"/>
      <c r="AN3" s="479"/>
      <c r="AO3" s="479"/>
      <c r="AP3" s="115"/>
      <c r="AQ3" s="478"/>
      <c r="AR3" s="479"/>
      <c r="AS3" s="479"/>
      <c r="AT3" s="479"/>
      <c r="AU3" s="115"/>
      <c r="AV3" s="605"/>
      <c r="AW3" s="478"/>
      <c r="AX3" s="479"/>
      <c r="AY3" s="479"/>
      <c r="AZ3" s="479"/>
      <c r="BA3" s="115"/>
      <c r="BB3" s="478"/>
      <c r="BC3" s="479"/>
      <c r="BD3" s="479"/>
      <c r="BE3" s="479"/>
      <c r="BF3" s="115"/>
      <c r="BG3" s="478"/>
      <c r="BH3" s="479"/>
      <c r="BI3" s="479"/>
      <c r="BJ3" s="479"/>
      <c r="BK3" s="115"/>
      <c r="BL3" s="478"/>
      <c r="BM3" s="479"/>
      <c r="BN3" s="479"/>
      <c r="BO3" s="479"/>
      <c r="BP3" s="115"/>
      <c r="BQ3" s="114"/>
      <c r="BR3" s="478"/>
      <c r="BS3" s="479"/>
      <c r="BT3" s="479"/>
      <c r="BU3" s="479"/>
      <c r="BV3" s="115"/>
      <c r="BW3" s="478"/>
      <c r="BX3" s="479"/>
      <c r="BY3" s="479"/>
      <c r="BZ3" s="479"/>
      <c r="CA3" s="115"/>
      <c r="CB3" s="478"/>
      <c r="CC3" s="479"/>
      <c r="CD3" s="479"/>
      <c r="CE3" s="479"/>
      <c r="CF3" s="115"/>
      <c r="CG3" s="478"/>
      <c r="CH3" s="479"/>
      <c r="CI3" s="479"/>
      <c r="CJ3" s="479"/>
      <c r="CK3" s="115"/>
    </row>
    <row r="4" spans="1:179" s="57" customFormat="1" ht="9.75" customHeight="1" x14ac:dyDescent="0.15">
      <c r="A4" s="468" t="s">
        <v>130</v>
      </c>
      <c r="B4" s="117">
        <f>B45</f>
        <v>0.3</v>
      </c>
      <c r="C4" s="118">
        <v>3</v>
      </c>
      <c r="D4" s="670" t="s">
        <v>160</v>
      </c>
      <c r="E4" s="671"/>
      <c r="F4" s="480">
        <f>SUM(1000/G44)</f>
        <v>200</v>
      </c>
      <c r="G4" s="481">
        <f>SUM((F45+F46)/G44)</f>
        <v>200</v>
      </c>
      <c r="H4" s="481">
        <f>SUM((G45+G46)/H44)</f>
        <v>3888.8888888888887</v>
      </c>
      <c r="I4" s="481">
        <f>SUM((H45+H46)/I44)</f>
        <v>3389.8305084745762</v>
      </c>
      <c r="J4" s="119">
        <f>SUM(F4+G4+H4+I4)*3</f>
        <v>23036.158192090395</v>
      </c>
      <c r="K4" s="482">
        <f>SUM((I45+I46)/K44)</f>
        <v>3465.5709343055337</v>
      </c>
      <c r="L4" s="482">
        <f>SUM((K45+K46)/L44)</f>
        <v>7328.9635720576289</v>
      </c>
      <c r="M4" s="482">
        <f>SUM((L45+L46)/M44)</f>
        <v>14574.174035893249</v>
      </c>
      <c r="N4" s="482">
        <f>SUM((M45+M46)/N44)</f>
        <v>30669.462781233295</v>
      </c>
      <c r="O4" s="119">
        <f>SUM(K4+L4+M4+N4)*3</f>
        <v>168114.51397046912</v>
      </c>
      <c r="P4" s="482">
        <f>SUM((N45+N46)/P44)</f>
        <v>59943.924832444878</v>
      </c>
      <c r="Q4" s="482">
        <f>SUM((P45+P46)/Q44)</f>
        <v>116383.52726441112</v>
      </c>
      <c r="R4" s="482">
        <f>SUM((Q45+Q46)/R44)</f>
        <v>237876.38257277256</v>
      </c>
      <c r="S4" s="482">
        <f>SUM((R45+R46)/S44)</f>
        <v>477906.65919169592</v>
      </c>
      <c r="T4" s="120">
        <f>SUM(P4+Q4+R4+S4)*3</f>
        <v>2676331.4815839734</v>
      </c>
      <c r="U4" s="123"/>
      <c r="V4" s="121">
        <f>SUM(V45/V44)</f>
        <v>3999999.9999999972</v>
      </c>
      <c r="W4" s="119">
        <f>SUM(W45/W44)</f>
        <v>4081632.6530612214</v>
      </c>
      <c r="X4" s="122">
        <f>SUM(X45/X44)</f>
        <v>4166666.6666666628</v>
      </c>
      <c r="Y4" s="123"/>
      <c r="Z4" s="568">
        <v>0</v>
      </c>
      <c r="AA4" s="606"/>
      <c r="AB4" s="480">
        <f t="shared" ref="AB4:AB15" si="0">F4</f>
        <v>200</v>
      </c>
      <c r="AC4" s="482">
        <f t="shared" ref="AC4:AC15" si="1">F4</f>
        <v>200</v>
      </c>
      <c r="AD4" s="482">
        <f t="shared" ref="AD4:AD15" si="2">F4</f>
        <v>200</v>
      </c>
      <c r="AE4" s="482">
        <f>SUM(AB4:AD4)</f>
        <v>600</v>
      </c>
      <c r="AF4" s="124"/>
      <c r="AG4" s="480">
        <f t="shared" ref="AG4:AG15" si="3">G4</f>
        <v>200</v>
      </c>
      <c r="AH4" s="482">
        <f t="shared" ref="AH4:AH15" si="4">G4</f>
        <v>200</v>
      </c>
      <c r="AI4" s="482">
        <f t="shared" ref="AI4:AI15" si="5">G4</f>
        <v>200</v>
      </c>
      <c r="AJ4" s="482">
        <f>SUM(AG4:AI4)</f>
        <v>600</v>
      </c>
      <c r="AK4" s="124"/>
      <c r="AL4" s="480">
        <f t="shared" ref="AL4:AL15" si="6">H4</f>
        <v>3888.8888888888887</v>
      </c>
      <c r="AM4" s="482">
        <f t="shared" ref="AM4:AM15" si="7">H4</f>
        <v>3888.8888888888887</v>
      </c>
      <c r="AN4" s="482">
        <f t="shared" ref="AN4:AN15" si="8">H4</f>
        <v>3888.8888888888887</v>
      </c>
      <c r="AO4" s="482">
        <f>SUM(AL4:AN4)</f>
        <v>11666.666666666666</v>
      </c>
      <c r="AP4" s="124"/>
      <c r="AQ4" s="480">
        <f t="shared" ref="AQ4:AQ15" si="9">I4</f>
        <v>3389.8305084745762</v>
      </c>
      <c r="AR4" s="482">
        <f t="shared" ref="AR4:AR15" si="10">I4</f>
        <v>3389.8305084745762</v>
      </c>
      <c r="AS4" s="482">
        <f t="shared" ref="AS4:AS15" si="11">I4</f>
        <v>3389.8305084745762</v>
      </c>
      <c r="AT4" s="482">
        <f>SUM(AQ4:AS4)</f>
        <v>10169.491525423728</v>
      </c>
      <c r="AU4" s="124"/>
      <c r="AV4" s="606"/>
      <c r="AW4" s="480">
        <f t="shared" ref="AW4:AW15" si="12">K4</f>
        <v>3465.5709343055337</v>
      </c>
      <c r="AX4" s="482">
        <f t="shared" ref="AX4:AX15" si="13">K4</f>
        <v>3465.5709343055337</v>
      </c>
      <c r="AY4" s="482">
        <f t="shared" ref="AY4:AY15" si="14">K4</f>
        <v>3465.5709343055337</v>
      </c>
      <c r="AZ4" s="482">
        <f>SUM(AW4:AY4)</f>
        <v>10396.712802916602</v>
      </c>
      <c r="BA4" s="124"/>
      <c r="BB4" s="480">
        <f t="shared" ref="BB4:BB15" si="15">L4</f>
        <v>7328.9635720576289</v>
      </c>
      <c r="BC4" s="482">
        <f t="shared" ref="BC4:BC15" si="16">L4</f>
        <v>7328.9635720576289</v>
      </c>
      <c r="BD4" s="482">
        <f t="shared" ref="BD4:BD15" si="17">L4</f>
        <v>7328.9635720576289</v>
      </c>
      <c r="BE4" s="482">
        <f>SUM(BB4:BD4)</f>
        <v>21986.890716172886</v>
      </c>
      <c r="BF4" s="124"/>
      <c r="BG4" s="480">
        <f t="shared" ref="BG4:BG15" si="18">M4</f>
        <v>14574.174035893249</v>
      </c>
      <c r="BH4" s="482">
        <f t="shared" ref="BH4:BH15" si="19">M4</f>
        <v>14574.174035893249</v>
      </c>
      <c r="BI4" s="482">
        <f t="shared" ref="BI4:BI15" si="20">M4</f>
        <v>14574.174035893249</v>
      </c>
      <c r="BJ4" s="482">
        <f>SUM(BG4:BI4)</f>
        <v>43722.522107679746</v>
      </c>
      <c r="BK4" s="124"/>
      <c r="BL4" s="480">
        <f t="shared" ref="BL4:BL15" si="21">N4</f>
        <v>30669.462781233295</v>
      </c>
      <c r="BM4" s="482">
        <f t="shared" ref="BM4:BM15" si="22">N4</f>
        <v>30669.462781233295</v>
      </c>
      <c r="BN4" s="482">
        <f t="shared" ref="BN4:BN15" si="23">N4</f>
        <v>30669.462781233295</v>
      </c>
      <c r="BO4" s="482">
        <f>SUM(BL4:BN4)</f>
        <v>92008.388343699888</v>
      </c>
      <c r="BP4" s="124"/>
      <c r="BQ4" s="123"/>
      <c r="BR4" s="480">
        <f t="shared" ref="BR4:BR15" si="24">P4</f>
        <v>59943.924832444878</v>
      </c>
      <c r="BS4" s="482">
        <f t="shared" ref="BS4:BS15" si="25">P4</f>
        <v>59943.924832444878</v>
      </c>
      <c r="BT4" s="482">
        <f t="shared" ref="BT4:BT15" si="26">P4</f>
        <v>59943.924832444878</v>
      </c>
      <c r="BU4" s="482">
        <f>SUM(BR4:BT4)</f>
        <v>179831.77449733464</v>
      </c>
      <c r="BV4" s="124"/>
      <c r="BW4" s="480">
        <f t="shared" ref="BW4:BW15" si="27">Q4</f>
        <v>116383.52726441112</v>
      </c>
      <c r="BX4" s="482">
        <f t="shared" ref="BX4:BX15" si="28">Q4</f>
        <v>116383.52726441112</v>
      </c>
      <c r="BY4" s="482">
        <f t="shared" ref="BY4:BY15" si="29">Q4</f>
        <v>116383.52726441112</v>
      </c>
      <c r="BZ4" s="482">
        <f>SUM(BW4:BY4)</f>
        <v>349150.5817932334</v>
      </c>
      <c r="CA4" s="124"/>
      <c r="CB4" s="480">
        <f t="shared" ref="CB4:CB15" si="30">R4</f>
        <v>237876.38257277256</v>
      </c>
      <c r="CC4" s="482">
        <f t="shared" ref="CC4:CC15" si="31">R4</f>
        <v>237876.38257277256</v>
      </c>
      <c r="CD4" s="482">
        <f t="shared" ref="CD4:CD15" si="32">R4</f>
        <v>237876.38257277256</v>
      </c>
      <c r="CE4" s="482">
        <f>SUM(CB4:CD4)</f>
        <v>713629.14771831769</v>
      </c>
      <c r="CF4" s="124"/>
      <c r="CG4" s="480">
        <f t="shared" ref="CG4:CG15" si="33">S4</f>
        <v>477906.65919169592</v>
      </c>
      <c r="CH4" s="482">
        <f t="shared" ref="CH4:CH15" si="34">S4</f>
        <v>477906.65919169592</v>
      </c>
      <c r="CI4" s="482">
        <f t="shared" ref="CI4:CI15" si="35">S4</f>
        <v>477906.65919169592</v>
      </c>
      <c r="CJ4" s="482">
        <f>SUM(CG4:CI4)</f>
        <v>1433719.9775750877</v>
      </c>
      <c r="CK4" s="124"/>
    </row>
    <row r="5" spans="1:179" s="57" customFormat="1" ht="9.75" customHeight="1" x14ac:dyDescent="0.15">
      <c r="A5" s="468" t="s">
        <v>131</v>
      </c>
      <c r="B5" s="284">
        <v>800</v>
      </c>
      <c r="C5" s="126">
        <v>0.08</v>
      </c>
      <c r="D5" s="693"/>
      <c r="E5" s="694"/>
      <c r="F5" s="127">
        <v>1500</v>
      </c>
      <c r="G5" s="128">
        <v>2000</v>
      </c>
      <c r="H5" s="482">
        <f>SUM((IF(ISBLANK(D5),B5,D5))+(G5)*(IF(ISBLANK(E5),(1+C5),(1+E5))))</f>
        <v>2960</v>
      </c>
      <c r="I5" s="482">
        <f>SUM((IF(ISBLANK(D5),B5,D5))+(H5)*(IF(ISBLANK(E5),(1+C5),(1+E5))))</f>
        <v>3996.8</v>
      </c>
      <c r="J5" s="119">
        <f>SUM(F5+G5+H5+I5)*3</f>
        <v>31370.399999999998</v>
      </c>
      <c r="K5" s="482">
        <f>SUM((IF(ISBLANK(D5),B5,D5))+(I5)*(IF(ISBLANK(E5),(1+C5),(1+E5))))</f>
        <v>5116.5440000000008</v>
      </c>
      <c r="L5" s="482">
        <f>SUM((IF(ISBLANK(D5),B5,D5))+(K5)*(IF(ISBLANK(E5),(1+C5),(1+E5))))</f>
        <v>6325.8675200000016</v>
      </c>
      <c r="M5" s="482">
        <f>SUM((IF(ISBLANK(D5),B5,D5))+(L5)*(IF(ISBLANK(E5),(1+C5),(1+E5))))</f>
        <v>7631.9369216000023</v>
      </c>
      <c r="N5" s="482">
        <f>SUM((IF(ISBLANK(D5),B5,D5))+(M5)*(IF(ISBLANK(E5),(1+C5),(1+E5))))</f>
        <v>9042.4918753280035</v>
      </c>
      <c r="O5" s="119">
        <f>SUM(K5+L5+M5+N5)*3</f>
        <v>84350.520950784019</v>
      </c>
      <c r="P5" s="482">
        <f>SUM((IF(ISBLANK(D5),B5,D5))+(N5)*(IF(ISBLANK(E5),(1+C5),(1+E5))))</f>
        <v>10565.891225354244</v>
      </c>
      <c r="Q5" s="482">
        <f>SUM((IF(ISBLANK(D5),B5,D5))+(P5)*(IF(ISBLANK(E5),(1+C5),(1+E5))))</f>
        <v>12211.162523382583</v>
      </c>
      <c r="R5" s="482">
        <f>SUM((IF(ISBLANK(D5),B5,D5))+(Q5)*(IF(ISBLANK(E5),(1+C5),(1+E5))))</f>
        <v>13988.05552525319</v>
      </c>
      <c r="S5" s="482">
        <f>SUM((IF(ISBLANK(D5),B5,D5))+(R5)*(IF(ISBLANK(E5),(1+C5),(1+E5))))</f>
        <v>15907.099967273447</v>
      </c>
      <c r="T5" s="120">
        <f>SUM(P5+Q5+R5+S5)*3</f>
        <v>158016.62772379041</v>
      </c>
      <c r="U5" s="123"/>
      <c r="V5" s="121">
        <f>SUM((IF(ISBLANK(D5),B5,D5))+(S5)*(IF(ISBLANK(E5),(1+C5),(1+E5))))*12</f>
        <v>215756.01557586389</v>
      </c>
      <c r="W5" s="119">
        <f>SUM((IF(ISBLANK(D5),B5,D5))+(V5)*(IF(ISBLANK(E5),(1+C5),(1+E5))))</f>
        <v>233816.49682193302</v>
      </c>
      <c r="X5" s="122">
        <f>SUM((IF(ISBLANK(D5),B5,D5))+(W5)*(IF(ISBLANK(E5),(1+C5),(1+E5))))</f>
        <v>253321.81656768767</v>
      </c>
      <c r="Y5" s="123"/>
      <c r="Z5" s="568">
        <v>2300</v>
      </c>
      <c r="AA5" s="606"/>
      <c r="AB5" s="480">
        <f t="shared" si="0"/>
        <v>1500</v>
      </c>
      <c r="AC5" s="482">
        <f t="shared" si="1"/>
        <v>1500</v>
      </c>
      <c r="AD5" s="482">
        <f t="shared" si="2"/>
        <v>1500</v>
      </c>
      <c r="AE5" s="482">
        <f>SUM(AB5:AD5)</f>
        <v>4500</v>
      </c>
      <c r="AF5" s="124"/>
      <c r="AG5" s="480">
        <f t="shared" si="3"/>
        <v>2000</v>
      </c>
      <c r="AH5" s="482">
        <f t="shared" si="4"/>
        <v>2000</v>
      </c>
      <c r="AI5" s="482">
        <f t="shared" si="5"/>
        <v>2000</v>
      </c>
      <c r="AJ5" s="482">
        <f>SUM(AG5:AI5)</f>
        <v>6000</v>
      </c>
      <c r="AK5" s="124"/>
      <c r="AL5" s="480">
        <f t="shared" si="6"/>
        <v>2960</v>
      </c>
      <c r="AM5" s="482">
        <f t="shared" si="7"/>
        <v>2960</v>
      </c>
      <c r="AN5" s="482">
        <f t="shared" si="8"/>
        <v>2960</v>
      </c>
      <c r="AO5" s="482">
        <f>SUM(AL5:AN5)</f>
        <v>8880</v>
      </c>
      <c r="AP5" s="124"/>
      <c r="AQ5" s="480">
        <f t="shared" si="9"/>
        <v>3996.8</v>
      </c>
      <c r="AR5" s="482">
        <f t="shared" si="10"/>
        <v>3996.8</v>
      </c>
      <c r="AS5" s="482">
        <f t="shared" si="11"/>
        <v>3996.8</v>
      </c>
      <c r="AT5" s="482">
        <f>SUM(AQ5:AS5)</f>
        <v>11990.400000000001</v>
      </c>
      <c r="AU5" s="124"/>
      <c r="AV5" s="606"/>
      <c r="AW5" s="480">
        <f t="shared" si="12"/>
        <v>5116.5440000000008</v>
      </c>
      <c r="AX5" s="482">
        <f t="shared" si="13"/>
        <v>5116.5440000000008</v>
      </c>
      <c r="AY5" s="482">
        <f t="shared" si="14"/>
        <v>5116.5440000000008</v>
      </c>
      <c r="AZ5" s="482">
        <f>SUM(AW5:AY5)</f>
        <v>15349.632000000001</v>
      </c>
      <c r="BA5" s="124"/>
      <c r="BB5" s="480">
        <f t="shared" si="15"/>
        <v>6325.8675200000016</v>
      </c>
      <c r="BC5" s="482">
        <f t="shared" si="16"/>
        <v>6325.8675200000016</v>
      </c>
      <c r="BD5" s="482">
        <f t="shared" si="17"/>
        <v>6325.8675200000016</v>
      </c>
      <c r="BE5" s="482">
        <f>SUM(BB5:BD5)</f>
        <v>18977.602560000007</v>
      </c>
      <c r="BF5" s="124"/>
      <c r="BG5" s="480">
        <f t="shared" si="18"/>
        <v>7631.9369216000023</v>
      </c>
      <c r="BH5" s="482">
        <f t="shared" si="19"/>
        <v>7631.9369216000023</v>
      </c>
      <c r="BI5" s="482">
        <f t="shared" si="20"/>
        <v>7631.9369216000023</v>
      </c>
      <c r="BJ5" s="482">
        <f>SUM(BG5:BI5)</f>
        <v>22895.810764800008</v>
      </c>
      <c r="BK5" s="124"/>
      <c r="BL5" s="480">
        <f t="shared" si="21"/>
        <v>9042.4918753280035</v>
      </c>
      <c r="BM5" s="482">
        <f t="shared" si="22"/>
        <v>9042.4918753280035</v>
      </c>
      <c r="BN5" s="482">
        <f t="shared" si="23"/>
        <v>9042.4918753280035</v>
      </c>
      <c r="BO5" s="482">
        <f>SUM(BL5:BN5)</f>
        <v>27127.475625984011</v>
      </c>
      <c r="BP5" s="124"/>
      <c r="BQ5" s="123"/>
      <c r="BR5" s="480">
        <f t="shared" si="24"/>
        <v>10565.891225354244</v>
      </c>
      <c r="BS5" s="482">
        <f t="shared" si="25"/>
        <v>10565.891225354244</v>
      </c>
      <c r="BT5" s="482">
        <f t="shared" si="26"/>
        <v>10565.891225354244</v>
      </c>
      <c r="BU5" s="482">
        <f>SUM(BR5:BT5)</f>
        <v>31697.673676062732</v>
      </c>
      <c r="BV5" s="124"/>
      <c r="BW5" s="480">
        <f t="shared" si="27"/>
        <v>12211.162523382583</v>
      </c>
      <c r="BX5" s="482">
        <f t="shared" si="28"/>
        <v>12211.162523382583</v>
      </c>
      <c r="BY5" s="482">
        <f t="shared" si="29"/>
        <v>12211.162523382583</v>
      </c>
      <c r="BZ5" s="482">
        <f>SUM(BW5:BY5)</f>
        <v>36633.48757014775</v>
      </c>
      <c r="CA5" s="124"/>
      <c r="CB5" s="480">
        <f t="shared" si="30"/>
        <v>13988.05552525319</v>
      </c>
      <c r="CC5" s="482">
        <f t="shared" si="31"/>
        <v>13988.05552525319</v>
      </c>
      <c r="CD5" s="482">
        <f t="shared" si="32"/>
        <v>13988.05552525319</v>
      </c>
      <c r="CE5" s="482">
        <f>SUM(CB5:CD5)</f>
        <v>41964.166575759569</v>
      </c>
      <c r="CF5" s="124"/>
      <c r="CG5" s="480">
        <f t="shared" si="33"/>
        <v>15907.099967273447</v>
      </c>
      <c r="CH5" s="482">
        <f t="shared" si="34"/>
        <v>15907.099967273447</v>
      </c>
      <c r="CI5" s="482">
        <f t="shared" si="35"/>
        <v>15907.099967273447</v>
      </c>
      <c r="CJ5" s="482">
        <f>SUM(CG5:CI5)</f>
        <v>47721.299901820341</v>
      </c>
      <c r="CK5" s="124"/>
    </row>
    <row r="6" spans="1:179" s="57" customFormat="1" ht="9.75" customHeight="1" x14ac:dyDescent="0.15">
      <c r="A6" s="468" t="s">
        <v>132</v>
      </c>
      <c r="B6" s="370">
        <v>500</v>
      </c>
      <c r="C6" s="126">
        <v>0.02</v>
      </c>
      <c r="D6" s="129"/>
      <c r="E6" s="624"/>
      <c r="F6" s="127">
        <v>0</v>
      </c>
      <c r="G6" s="128">
        <v>100</v>
      </c>
      <c r="H6" s="482">
        <f>SUM(IF(ISBLANK(D6),B6,D6)+(G18*(IF(ISBLANK(E6),C6,E6))))</f>
        <v>602.38028305815033</v>
      </c>
      <c r="I6" s="482">
        <f>SUM(IF(ISBLANK(D6),B6,D6)+(H18*(IF(ISBLANK(E6),C6,E6))))</f>
        <v>1145.9535419598158</v>
      </c>
      <c r="J6" s="119">
        <f>SUM(F6+G6+H6+I6)*3</f>
        <v>5545.0014750538985</v>
      </c>
      <c r="K6" s="482">
        <f>SUM(IF(ISBLANK(D6),B6,D6)+(I18*(IF(ISBLANK(E6),C6,E6))))</f>
        <v>1888.1482972949632</v>
      </c>
      <c r="L6" s="482">
        <f>SUM(IF(ISBLANK(D6),B6,D6)+(K18*(IF(ISBLANK(E6),C6,E6))))</f>
        <v>2870.3406271998274</v>
      </c>
      <c r="M6" s="482">
        <f>SUM(IF(ISBLANK(D6),B6,D6)+(L18*(IF(ISBLANK(E6),C6,E6))))</f>
        <v>4234.009229377496</v>
      </c>
      <c r="N6" s="482">
        <f>SUM(IF(ISBLANK(D6),B6,D6)+(M18*(IF(ISBLANK(E6),C6,E6))))</f>
        <v>6362.4092651538422</v>
      </c>
      <c r="O6" s="119">
        <f>SUM(K6+L6+M6+N6)*3</f>
        <v>46064.722257078378</v>
      </c>
      <c r="P6" s="482">
        <f>SUM(IF(ISBLANK(D6),B6,D6)+(N18*(IF(ISBLANK(E6),C6,E6))))</f>
        <v>10047.169251173655</v>
      </c>
      <c r="Q6" s="482">
        <f>SUM(IF(ISBLANK(D6),B6,D6)+(P18*(IF(ISBLANK(E6),C6,E6))))</f>
        <v>16491.375376787553</v>
      </c>
      <c r="R6" s="482">
        <f>SUM(IF(ISBLANK(D6),B6,D6)+(Q18*(IF(ISBLANK(E6),C6,E6))))</f>
        <v>28085.678404781411</v>
      </c>
      <c r="S6" s="482">
        <f>SUM(IF(ISBLANK(D6),B6,D6)+(R18*(IF(ISBLANK(E6),C6,E6))))</f>
        <v>50217.700488357004</v>
      </c>
      <c r="T6" s="120">
        <f>SUM(P6+Q6+R6+S6)*3</f>
        <v>314525.77056329889</v>
      </c>
      <c r="U6" s="123"/>
      <c r="V6" s="121">
        <f>SUM(IF(ISBLANK(D6),B6,D6)+(S18*(IF(ISBLANK(E6),C6,E6))))*12</f>
        <v>1116247.4568540105</v>
      </c>
      <c r="W6" s="119">
        <f>SUM(IF(ISBLANK(D6),B6,D6)+(V18*(IF(ISBLANK(E6),C6,E6))))*12</f>
        <v>3110355.1961926911</v>
      </c>
      <c r="X6" s="122">
        <f>SUM(IF(ISBLANK(D6),B6,D6)+(W18*(IF(ISBLANK(E6),C6,E6))))*12</f>
        <v>6406154.8565311516</v>
      </c>
      <c r="Y6" s="123"/>
      <c r="Z6" s="568">
        <v>0</v>
      </c>
      <c r="AA6" s="606"/>
      <c r="AB6" s="480">
        <f t="shared" si="0"/>
        <v>0</v>
      </c>
      <c r="AC6" s="482">
        <f t="shared" si="1"/>
        <v>0</v>
      </c>
      <c r="AD6" s="482">
        <f t="shared" si="2"/>
        <v>0</v>
      </c>
      <c r="AE6" s="482">
        <f t="shared" ref="AE6:AE17" si="36">SUM(AB6:AD6)</f>
        <v>0</v>
      </c>
      <c r="AF6" s="124"/>
      <c r="AG6" s="480">
        <f t="shared" si="3"/>
        <v>100</v>
      </c>
      <c r="AH6" s="482">
        <f t="shared" si="4"/>
        <v>100</v>
      </c>
      <c r="AI6" s="482">
        <f t="shared" si="5"/>
        <v>100</v>
      </c>
      <c r="AJ6" s="482">
        <f t="shared" ref="AJ6:AJ17" si="37">SUM(AG6:AI6)</f>
        <v>300</v>
      </c>
      <c r="AK6" s="124"/>
      <c r="AL6" s="480">
        <f t="shared" si="6"/>
        <v>602.38028305815033</v>
      </c>
      <c r="AM6" s="482">
        <f t="shared" si="7"/>
        <v>602.38028305815033</v>
      </c>
      <c r="AN6" s="482">
        <f t="shared" si="8"/>
        <v>602.38028305815033</v>
      </c>
      <c r="AO6" s="482">
        <f t="shared" ref="AO6:AO17" si="38">SUM(AL6:AN6)</f>
        <v>1807.140849174451</v>
      </c>
      <c r="AP6" s="124"/>
      <c r="AQ6" s="480">
        <f t="shared" si="9"/>
        <v>1145.9535419598158</v>
      </c>
      <c r="AR6" s="482">
        <f t="shared" si="10"/>
        <v>1145.9535419598158</v>
      </c>
      <c r="AS6" s="482">
        <f t="shared" si="11"/>
        <v>1145.9535419598158</v>
      </c>
      <c r="AT6" s="482">
        <f t="shared" ref="AT6:AT17" si="39">SUM(AQ6:AS6)</f>
        <v>3437.8606258794471</v>
      </c>
      <c r="AU6" s="124"/>
      <c r="AV6" s="606"/>
      <c r="AW6" s="480">
        <f t="shared" si="12"/>
        <v>1888.1482972949632</v>
      </c>
      <c r="AX6" s="482">
        <f t="shared" si="13"/>
        <v>1888.1482972949632</v>
      </c>
      <c r="AY6" s="482">
        <f t="shared" si="14"/>
        <v>1888.1482972949632</v>
      </c>
      <c r="AZ6" s="482">
        <f t="shared" ref="AZ6:AZ17" si="40">SUM(AW6:AY6)</f>
        <v>5664.4448918848893</v>
      </c>
      <c r="BA6" s="124"/>
      <c r="BB6" s="480">
        <f t="shared" si="15"/>
        <v>2870.3406271998274</v>
      </c>
      <c r="BC6" s="482">
        <f t="shared" si="16"/>
        <v>2870.3406271998274</v>
      </c>
      <c r="BD6" s="482">
        <f t="shared" si="17"/>
        <v>2870.3406271998274</v>
      </c>
      <c r="BE6" s="482">
        <f t="shared" ref="BE6:BE17" si="41">SUM(BB6:BD6)</f>
        <v>8611.0218815994813</v>
      </c>
      <c r="BF6" s="124"/>
      <c r="BG6" s="480">
        <f t="shared" si="18"/>
        <v>4234.009229377496</v>
      </c>
      <c r="BH6" s="482">
        <f t="shared" si="19"/>
        <v>4234.009229377496</v>
      </c>
      <c r="BI6" s="482">
        <f t="shared" si="20"/>
        <v>4234.009229377496</v>
      </c>
      <c r="BJ6" s="482">
        <f t="shared" ref="BJ6:BJ17" si="42">SUM(BG6:BI6)</f>
        <v>12702.027688132488</v>
      </c>
      <c r="BK6" s="124"/>
      <c r="BL6" s="480">
        <f t="shared" si="21"/>
        <v>6362.4092651538422</v>
      </c>
      <c r="BM6" s="482">
        <f t="shared" si="22"/>
        <v>6362.4092651538422</v>
      </c>
      <c r="BN6" s="482">
        <f t="shared" si="23"/>
        <v>6362.4092651538422</v>
      </c>
      <c r="BO6" s="482">
        <f t="shared" ref="BO6:BO8" si="43">SUM(BL6:BN6)</f>
        <v>19087.227795461527</v>
      </c>
      <c r="BP6" s="124"/>
      <c r="BQ6" s="123"/>
      <c r="BR6" s="480">
        <f t="shared" si="24"/>
        <v>10047.169251173655</v>
      </c>
      <c r="BS6" s="482">
        <f t="shared" si="25"/>
        <v>10047.169251173655</v>
      </c>
      <c r="BT6" s="482">
        <f t="shared" si="26"/>
        <v>10047.169251173655</v>
      </c>
      <c r="BU6" s="482">
        <f t="shared" ref="BU6:BU8" si="44">SUM(BR6:BT6)</f>
        <v>30141.507753520964</v>
      </c>
      <c r="BV6" s="124"/>
      <c r="BW6" s="480">
        <f t="shared" si="27"/>
        <v>16491.375376787553</v>
      </c>
      <c r="BX6" s="482">
        <f t="shared" si="28"/>
        <v>16491.375376787553</v>
      </c>
      <c r="BY6" s="482">
        <f t="shared" si="29"/>
        <v>16491.375376787553</v>
      </c>
      <c r="BZ6" s="482">
        <f t="shared" ref="BZ6:BZ8" si="45">SUM(BW6:BY6)</f>
        <v>49474.12613036266</v>
      </c>
      <c r="CA6" s="124"/>
      <c r="CB6" s="480">
        <f t="shared" si="30"/>
        <v>28085.678404781411</v>
      </c>
      <c r="CC6" s="482">
        <f t="shared" si="31"/>
        <v>28085.678404781411</v>
      </c>
      <c r="CD6" s="482">
        <f t="shared" si="32"/>
        <v>28085.678404781411</v>
      </c>
      <c r="CE6" s="482">
        <f t="shared" ref="CE6:CE7" si="46">SUM(CB6:CD6)</f>
        <v>84257.035214344229</v>
      </c>
      <c r="CF6" s="124"/>
      <c r="CG6" s="480">
        <f t="shared" si="33"/>
        <v>50217.700488357004</v>
      </c>
      <c r="CH6" s="482">
        <f t="shared" si="34"/>
        <v>50217.700488357004</v>
      </c>
      <c r="CI6" s="482">
        <f t="shared" si="35"/>
        <v>50217.700488357004</v>
      </c>
      <c r="CJ6" s="482">
        <f t="shared" ref="CJ6:CJ8" si="47">SUM(CG6:CI6)</f>
        <v>150653.10146507103</v>
      </c>
      <c r="CK6" s="124"/>
    </row>
    <row r="7" spans="1:179" s="57" customFormat="1" ht="9.75" customHeight="1" x14ac:dyDescent="0.15">
      <c r="A7" s="468" t="s">
        <v>133</v>
      </c>
      <c r="B7" s="121">
        <v>100</v>
      </c>
      <c r="C7" s="285">
        <v>0.01</v>
      </c>
      <c r="D7" s="129"/>
      <c r="E7" s="624"/>
      <c r="F7" s="127">
        <v>0</v>
      </c>
      <c r="G7" s="128">
        <v>0</v>
      </c>
      <c r="H7" s="128">
        <v>0</v>
      </c>
      <c r="I7" s="128">
        <v>0</v>
      </c>
      <c r="J7" s="119">
        <f>SUM((F7+G7+H7+I7)*3)</f>
        <v>0</v>
      </c>
      <c r="K7" s="482">
        <f>SUM(IF(ISBLANK(D7),B7,D7)+(I18*(IF(ISBLANK(E7),C7,E7))))</f>
        <v>794.07414864748159</v>
      </c>
      <c r="L7" s="482">
        <f>SUM(IF(ISBLANK(D7),B7,D7)+(K18*(IF(ISBLANK(E7),C7,E7))))</f>
        <v>1285.1703135999137</v>
      </c>
      <c r="M7" s="482">
        <f>SUM(IF(ISBLANK(D7),B7,D7)+(L18*(IF(ISBLANK(E7),C7,E7))))</f>
        <v>1967.0046146887478</v>
      </c>
      <c r="N7" s="482">
        <f>SUM(IF(ISBLANK(D7),B7,D7)+(M18*(IF(ISBLANK(E7),C7,E7))))</f>
        <v>3031.2046325769211</v>
      </c>
      <c r="O7" s="119">
        <f>SUM(K7+L7+M7+N7)*3</f>
        <v>21232.361128539189</v>
      </c>
      <c r="P7" s="482">
        <f>SUM(IF(ISBLANK(D7),B7,D7)+(N18*(IF(ISBLANK(E7),C7,E7))))</f>
        <v>4873.5846255868273</v>
      </c>
      <c r="Q7" s="482">
        <f>SUM(IF(ISBLANK(D7),B7,D7)+(P18*(IF(ISBLANK(E7),C7,E7))))</f>
        <v>8095.6876883937757</v>
      </c>
      <c r="R7" s="482">
        <f>SUM(IF(ISBLANK(D7),B7,D7)+(Q18*(IF(ISBLANK(E7),C7,E7))))</f>
        <v>13892.839202390705</v>
      </c>
      <c r="S7" s="482">
        <f>SUM(IF(ISBLANK(D7),B7,D7)+(R18*(IF(ISBLANK(E7),C7,E7))))</f>
        <v>24958.850244178502</v>
      </c>
      <c r="T7" s="120">
        <f>SUM(P7+Q7+R7+S7)*3</f>
        <v>155462.88528164945</v>
      </c>
      <c r="U7" s="123"/>
      <c r="V7" s="121">
        <f>SUM(IF(ISBLANK(D7),B7,D7)+(S18*(IF(ISBLANK(E7),C7,E7))))*12</f>
        <v>556323.72842700523</v>
      </c>
      <c r="W7" s="119">
        <f>SUM(IF(ISBLANK(D7),B7,D7)+(V18*(IF(ISBLANK(E7),C7,E7))))*12</f>
        <v>1553377.5980963456</v>
      </c>
      <c r="X7" s="122">
        <f>SUM(IF(ISBLANK(D7),B7,D7)+(W18*(IF(ISBLANK(E7),C7,E7))))*12</f>
        <v>3201277.4282655758</v>
      </c>
      <c r="Y7" s="123"/>
      <c r="Z7" s="568">
        <v>0</v>
      </c>
      <c r="AA7" s="606"/>
      <c r="AB7" s="480">
        <f t="shared" si="0"/>
        <v>0</v>
      </c>
      <c r="AC7" s="482">
        <f t="shared" si="1"/>
        <v>0</v>
      </c>
      <c r="AD7" s="482">
        <f t="shared" si="2"/>
        <v>0</v>
      </c>
      <c r="AE7" s="482">
        <f t="shared" si="36"/>
        <v>0</v>
      </c>
      <c r="AF7" s="124"/>
      <c r="AG7" s="480">
        <f t="shared" si="3"/>
        <v>0</v>
      </c>
      <c r="AH7" s="482">
        <f t="shared" si="4"/>
        <v>0</v>
      </c>
      <c r="AI7" s="482">
        <f t="shared" si="5"/>
        <v>0</v>
      </c>
      <c r="AJ7" s="482">
        <f t="shared" si="37"/>
        <v>0</v>
      </c>
      <c r="AK7" s="124"/>
      <c r="AL7" s="480">
        <f t="shared" si="6"/>
        <v>0</v>
      </c>
      <c r="AM7" s="482">
        <f t="shared" si="7"/>
        <v>0</v>
      </c>
      <c r="AN7" s="482">
        <f t="shared" si="8"/>
        <v>0</v>
      </c>
      <c r="AO7" s="482">
        <f t="shared" si="38"/>
        <v>0</v>
      </c>
      <c r="AP7" s="124"/>
      <c r="AQ7" s="480">
        <f t="shared" si="9"/>
        <v>0</v>
      </c>
      <c r="AR7" s="482">
        <f t="shared" si="10"/>
        <v>0</v>
      </c>
      <c r="AS7" s="482">
        <f t="shared" si="11"/>
        <v>0</v>
      </c>
      <c r="AT7" s="482">
        <f t="shared" si="39"/>
        <v>0</v>
      </c>
      <c r="AU7" s="124"/>
      <c r="AV7" s="606"/>
      <c r="AW7" s="480">
        <f t="shared" si="12"/>
        <v>794.07414864748159</v>
      </c>
      <c r="AX7" s="482">
        <f t="shared" si="13"/>
        <v>794.07414864748159</v>
      </c>
      <c r="AY7" s="482">
        <f t="shared" si="14"/>
        <v>794.07414864748159</v>
      </c>
      <c r="AZ7" s="482">
        <f t="shared" si="40"/>
        <v>2382.2224459424447</v>
      </c>
      <c r="BA7" s="124"/>
      <c r="BB7" s="480">
        <f t="shared" si="15"/>
        <v>1285.1703135999137</v>
      </c>
      <c r="BC7" s="482">
        <f t="shared" si="16"/>
        <v>1285.1703135999137</v>
      </c>
      <c r="BD7" s="482">
        <f t="shared" si="17"/>
        <v>1285.1703135999137</v>
      </c>
      <c r="BE7" s="482">
        <f t="shared" si="41"/>
        <v>3855.5109407997411</v>
      </c>
      <c r="BF7" s="124"/>
      <c r="BG7" s="480">
        <f t="shared" si="18"/>
        <v>1967.0046146887478</v>
      </c>
      <c r="BH7" s="482">
        <f t="shared" si="19"/>
        <v>1967.0046146887478</v>
      </c>
      <c r="BI7" s="482">
        <f t="shared" si="20"/>
        <v>1967.0046146887478</v>
      </c>
      <c r="BJ7" s="482">
        <f t="shared" si="42"/>
        <v>5901.0138440662431</v>
      </c>
      <c r="BK7" s="124"/>
      <c r="BL7" s="480">
        <f t="shared" si="21"/>
        <v>3031.2046325769211</v>
      </c>
      <c r="BM7" s="482">
        <f t="shared" si="22"/>
        <v>3031.2046325769211</v>
      </c>
      <c r="BN7" s="482">
        <f t="shared" si="23"/>
        <v>3031.2046325769211</v>
      </c>
      <c r="BO7" s="482">
        <f t="shared" si="43"/>
        <v>9093.6138977307637</v>
      </c>
      <c r="BP7" s="124"/>
      <c r="BQ7" s="123"/>
      <c r="BR7" s="480">
        <f t="shared" si="24"/>
        <v>4873.5846255868273</v>
      </c>
      <c r="BS7" s="482">
        <f t="shared" si="25"/>
        <v>4873.5846255868273</v>
      </c>
      <c r="BT7" s="482">
        <f t="shared" si="26"/>
        <v>4873.5846255868273</v>
      </c>
      <c r="BU7" s="482">
        <f t="shared" si="44"/>
        <v>14620.753876760482</v>
      </c>
      <c r="BV7" s="124"/>
      <c r="BW7" s="480">
        <f t="shared" si="27"/>
        <v>8095.6876883937757</v>
      </c>
      <c r="BX7" s="482">
        <f t="shared" si="28"/>
        <v>8095.6876883937757</v>
      </c>
      <c r="BY7" s="482">
        <f t="shared" si="29"/>
        <v>8095.6876883937757</v>
      </c>
      <c r="BZ7" s="482">
        <f t="shared" si="45"/>
        <v>24287.063065181326</v>
      </c>
      <c r="CA7" s="124"/>
      <c r="CB7" s="480">
        <f t="shared" si="30"/>
        <v>13892.839202390705</v>
      </c>
      <c r="CC7" s="482">
        <f t="shared" si="31"/>
        <v>13892.839202390705</v>
      </c>
      <c r="CD7" s="482">
        <f t="shared" si="32"/>
        <v>13892.839202390705</v>
      </c>
      <c r="CE7" s="482">
        <f t="shared" si="46"/>
        <v>41678.517607172114</v>
      </c>
      <c r="CF7" s="124"/>
      <c r="CG7" s="480">
        <f t="shared" si="33"/>
        <v>24958.850244178502</v>
      </c>
      <c r="CH7" s="482">
        <f t="shared" si="34"/>
        <v>24958.850244178502</v>
      </c>
      <c r="CI7" s="482">
        <f t="shared" si="35"/>
        <v>24958.850244178502</v>
      </c>
      <c r="CJ7" s="482">
        <f t="shared" si="47"/>
        <v>74876.550732535514</v>
      </c>
      <c r="CK7" s="124"/>
    </row>
    <row r="8" spans="1:179" s="57" customFormat="1" ht="9.75" customHeight="1" thickBot="1" x14ac:dyDescent="0.2">
      <c r="A8" s="469" t="s">
        <v>134</v>
      </c>
      <c r="B8" s="130">
        <v>5000000</v>
      </c>
      <c r="C8" s="131">
        <v>300000000</v>
      </c>
      <c r="D8" s="132"/>
      <c r="E8" s="287"/>
      <c r="F8" s="508">
        <f>SUM(IF(((1-(Z18/(IF(ISBLANK(D8),B8,(IF(D8=0,9.99999999999999E+29,D8))))))*SUM(F4:F7))&lt;0,0,((1-(Z18/(IF(ISBLANK(D8),B8,(IF(D8=0,9.99999999999999E+29,D8))))))*SUM(F4:F7))))</f>
        <v>1699.49</v>
      </c>
      <c r="G8" s="509">
        <f>SUM(IF(((1-(F18/(IF(ISBLANK(D8),B8,(IF(D8=0,9.99999999999999E+29,D8))))))*SUM(G4:G7))&lt;0,0,((1-(F18/(IF(ISBLANK(D8),B8,(IF(D8=0,9.99999999999999E+29,D8))))))*SUM(G4:G7))))</f>
        <v>2299.0132015260306</v>
      </c>
      <c r="H8" s="509">
        <f>SUM(IF(((1-(G18/(IF(ISBLANK(D8),B8,(IF(D8=0,9.99999999999999E+29,D8))))))*SUM(H4:H7))&lt;0,0,((1-(G18/(IF(ISBLANK(D8),B8,(IF(D8=0,9.99999999999999E+29,D8))))))*SUM(H4:H7))))</f>
        <v>7443.6405414773744</v>
      </c>
      <c r="I8" s="509">
        <f>SUM(IF(((1-(H18/(IF(ISBLANK(D8),B8,(IF(D8=0,9.99999999999999E+29,D8))))))*SUM(I4:I7))&lt;0,0,((1-(H18/(IF(ISBLANK(D8),B8,(IF(D8=0,9.99999999999999E+29,D8))))))*SUM(I4:I7))))</f>
        <v>8477.4675215399129</v>
      </c>
      <c r="J8" s="510">
        <f t="shared" ref="J8" si="48">SUM(F8:I8)*3</f>
        <v>59758.83379362995</v>
      </c>
      <c r="K8" s="509">
        <f>SUM(IF(((1-(I18/(IF(ISBLANK(E8),C8,(IF(E8=0,9.99999999999999E+29,E8))))))*SUM(K4:K7))&lt;0,0,((1-(I18/(IF(ISBLANK(E8),C8,(IF(E8=0,9.99999999999999E+29,E8))))))*SUM(K4:K7))))</f>
        <v>11261.731285122221</v>
      </c>
      <c r="L8" s="509">
        <f>SUM(IF(((1-(K18/(IF(ISBLANK(E8),C8,(IF(E8=0,9.99999999999999E+29,E8))))))*SUM(L4:L7))&lt;0,0,((1-(K18/(IF(ISBLANK(E8),C8,(IF(E8=0,9.99999999999999E+29,E8))))))*SUM(L4:L7))))</f>
        <v>17803.305936639903</v>
      </c>
      <c r="M8" s="509">
        <f>SUM(IF(((1-(L18/(IF(ISBLANK(E8),C8,(IF(E8=0,9.99999999999999E+29,E8))))))*SUM(M4:M7))&lt;0,0,((1-(L18/(IF(ISBLANK(E8),C8,(IF(E8=0,9.99999999999999E+29,E8))))))*SUM(M4:M7))))</f>
        <v>28389.446057194647</v>
      </c>
      <c r="N8" s="509">
        <f>SUM(IF(((1-(M18/(IF(ISBLANK(E8),C8,(IF(E8=0,9.99999999999999E+29,E8))))))*SUM(N4:N7))&lt;0,0,((1-(M18/(IF(ISBLANK(E8),C8,(IF(E8=0,9.99999999999999E+29,E8))))))*SUM(N4:N7))))</f>
        <v>49057.589064281507</v>
      </c>
      <c r="O8" s="510">
        <f t="shared" ref="O8" si="49">SUM(K8:N8)*3</f>
        <v>319536.21702971484</v>
      </c>
      <c r="P8" s="509">
        <f>SUM(IF(((1-(N18/(IF(ISBLANK(E8),C8,(IF(E8=0,9.99999999999999E+29,E8))))))*SUM(P4:P7))&lt;0,0,((1-(N18/(IF(ISBLANK(E8),C8,(IF(E8=0,9.99999999999999E+29,E8))))))*SUM(P4:P7))))</f>
        <v>85294.633249494684</v>
      </c>
      <c r="Q8" s="509">
        <f>SUM(IF(((1-(P18/(IF(ISBLANK(E8),C8,(IF(E8=0,9.99999999999999E+29,E8))))))*SUM(Q4:Q7))&lt;0,0,((1-(P18/(IF(ISBLANK(E8),C8,(IF(E8=0,9.99999999999999E+29,E8))))))*SUM(Q4:Q7))))</f>
        <v>152773.48836785069</v>
      </c>
      <c r="R8" s="509">
        <f>SUM(IF(((1-(Q18/(IF(ISBLANK(E8),C8,(IF(E8=0,9.99999999999999E+29,E8))))))*SUM(R4:R7))&lt;0,0,((1-(Q18/(IF(ISBLANK(E8),C8,(IF(E8=0,9.99999999999999E+29,E8))))))*SUM(R4:R7))))</f>
        <v>292491.9794922655</v>
      </c>
      <c r="S8" s="509">
        <f>SUM(IF(((1-(R18/(IF(ISBLANK(E8),C8,(IF(E8=0,9.99999999999999E+29,E8))))))*SUM(S4:S7))&lt;0,0,((1-(R18/(IF(ISBLANK(E8),C8,(IF(E8=0,9.99999999999999E+29,E8))))))*SUM(S4:S7))))</f>
        <v>564275.49492351105</v>
      </c>
      <c r="T8" s="511">
        <f t="shared" ref="T8" si="50">SUM(P8:S8)*3</f>
        <v>3284506.7880993658</v>
      </c>
      <c r="U8" s="562"/>
      <c r="V8" s="638">
        <f>SUM(IF(((1-(T18/(IF(ISBLANK(E8),C8,(IF(E8=0,9.99999999999999E+29,E8))))))*SUM(V4:V7))&lt;0,0,((1-(T18/(IF(ISBLANK(E8),C8,(IF(E8=0,9.99999999999999E+29,E8))))))*SUM(V4:V7))))</f>
        <v>5797528.5855808258</v>
      </c>
      <c r="W8" s="510">
        <f>SUM(IF(((1-(V18/(IF(ISBLANK(E8),C8,(IF(E8=0,9.99999999999999E+29,E8))))))*SUM(W4:W7))&lt;0,0,((1-(V18/(IF(ISBLANK(E8),C8,(IF(E8=0,9.99999999999999E+29,E8))))))*SUM(W4:W7))))</f>
        <v>8592035.1368673239</v>
      </c>
      <c r="X8" s="639">
        <f>SUM(IF(((1-(W18/(IF(ISBLANK(E8),C8,(IF(E8=0,9.99999999999999E+29,E8))))))*SUM(X4:X7))&lt;0,0,((1-(W18/(IF(ISBLANK(E8),C8,(IF(E8=0,9.99999999999999E+29,E8))))))*SUM(X4:X7))))</f>
        <v>12780508.752015522</v>
      </c>
      <c r="Y8" s="562"/>
      <c r="Z8" s="569">
        <f>SUM(Z4:Z7)</f>
        <v>2300</v>
      </c>
      <c r="AA8" s="607"/>
      <c r="AB8" s="508">
        <f t="shared" si="0"/>
        <v>1699.49</v>
      </c>
      <c r="AC8" s="509">
        <f t="shared" si="1"/>
        <v>1699.49</v>
      </c>
      <c r="AD8" s="509">
        <f t="shared" si="2"/>
        <v>1699.49</v>
      </c>
      <c r="AE8" s="509">
        <f t="shared" si="36"/>
        <v>5098.47</v>
      </c>
      <c r="AF8" s="133"/>
      <c r="AG8" s="508">
        <f t="shared" si="3"/>
        <v>2299.0132015260306</v>
      </c>
      <c r="AH8" s="509">
        <f t="shared" si="4"/>
        <v>2299.0132015260306</v>
      </c>
      <c r="AI8" s="509">
        <f t="shared" si="5"/>
        <v>2299.0132015260306</v>
      </c>
      <c r="AJ8" s="509">
        <f t="shared" si="37"/>
        <v>6897.0396045780917</v>
      </c>
      <c r="AK8" s="133"/>
      <c r="AL8" s="508">
        <f t="shared" si="6"/>
        <v>7443.6405414773744</v>
      </c>
      <c r="AM8" s="509">
        <f t="shared" si="7"/>
        <v>7443.6405414773744</v>
      </c>
      <c r="AN8" s="509">
        <f t="shared" si="8"/>
        <v>7443.6405414773744</v>
      </c>
      <c r="AO8" s="509">
        <f t="shared" si="38"/>
        <v>22330.921624432121</v>
      </c>
      <c r="AP8" s="133"/>
      <c r="AQ8" s="508">
        <f t="shared" si="9"/>
        <v>8477.4675215399129</v>
      </c>
      <c r="AR8" s="509">
        <f t="shared" si="10"/>
        <v>8477.4675215399129</v>
      </c>
      <c r="AS8" s="509">
        <f t="shared" si="11"/>
        <v>8477.4675215399129</v>
      </c>
      <c r="AT8" s="509">
        <f t="shared" si="39"/>
        <v>25432.402564619741</v>
      </c>
      <c r="AU8" s="133"/>
      <c r="AV8" s="607"/>
      <c r="AW8" s="508">
        <f t="shared" si="12"/>
        <v>11261.731285122221</v>
      </c>
      <c r="AX8" s="509">
        <f t="shared" si="13"/>
        <v>11261.731285122221</v>
      </c>
      <c r="AY8" s="509">
        <f t="shared" si="14"/>
        <v>11261.731285122221</v>
      </c>
      <c r="AZ8" s="509">
        <f t="shared" si="40"/>
        <v>33785.193855366662</v>
      </c>
      <c r="BA8" s="133"/>
      <c r="BB8" s="508">
        <f t="shared" si="15"/>
        <v>17803.305936639903</v>
      </c>
      <c r="BC8" s="509">
        <f t="shared" si="16"/>
        <v>17803.305936639903</v>
      </c>
      <c r="BD8" s="509">
        <f t="shared" si="17"/>
        <v>17803.305936639903</v>
      </c>
      <c r="BE8" s="509">
        <f t="shared" si="41"/>
        <v>53409.917809919709</v>
      </c>
      <c r="BF8" s="133"/>
      <c r="BG8" s="508">
        <f t="shared" si="18"/>
        <v>28389.446057194647</v>
      </c>
      <c r="BH8" s="509">
        <f t="shared" si="19"/>
        <v>28389.446057194647</v>
      </c>
      <c r="BI8" s="509">
        <f t="shared" si="20"/>
        <v>28389.446057194647</v>
      </c>
      <c r="BJ8" s="509">
        <f t="shared" si="42"/>
        <v>85168.33817158395</v>
      </c>
      <c r="BK8" s="133"/>
      <c r="BL8" s="508">
        <f t="shared" si="21"/>
        <v>49057.589064281507</v>
      </c>
      <c r="BM8" s="509">
        <f t="shared" si="22"/>
        <v>49057.589064281507</v>
      </c>
      <c r="BN8" s="509">
        <f t="shared" si="23"/>
        <v>49057.589064281507</v>
      </c>
      <c r="BO8" s="509">
        <f t="shared" si="43"/>
        <v>147172.76719284453</v>
      </c>
      <c r="BP8" s="133"/>
      <c r="BQ8" s="562"/>
      <c r="BR8" s="508">
        <f t="shared" si="24"/>
        <v>85294.633249494684</v>
      </c>
      <c r="BS8" s="509">
        <f t="shared" si="25"/>
        <v>85294.633249494684</v>
      </c>
      <c r="BT8" s="509">
        <f t="shared" si="26"/>
        <v>85294.633249494684</v>
      </c>
      <c r="BU8" s="509">
        <f t="shared" si="44"/>
        <v>255883.89974848405</v>
      </c>
      <c r="BV8" s="133"/>
      <c r="BW8" s="508">
        <f t="shared" si="27"/>
        <v>152773.48836785069</v>
      </c>
      <c r="BX8" s="509">
        <f t="shared" si="28"/>
        <v>152773.48836785069</v>
      </c>
      <c r="BY8" s="509">
        <f t="shared" si="29"/>
        <v>152773.48836785069</v>
      </c>
      <c r="BZ8" s="509">
        <f t="shared" si="45"/>
        <v>458320.46510355209</v>
      </c>
      <c r="CA8" s="133"/>
      <c r="CB8" s="508">
        <f t="shared" si="30"/>
        <v>292491.9794922655</v>
      </c>
      <c r="CC8" s="509">
        <f t="shared" si="31"/>
        <v>292491.9794922655</v>
      </c>
      <c r="CD8" s="509">
        <f t="shared" si="32"/>
        <v>292491.9794922655</v>
      </c>
      <c r="CE8" s="509">
        <f>SUM(CB8:CD8)</f>
        <v>877475.93847679649</v>
      </c>
      <c r="CF8" s="133"/>
      <c r="CG8" s="508">
        <f t="shared" si="33"/>
        <v>564275.49492351105</v>
      </c>
      <c r="CH8" s="509">
        <f t="shared" si="34"/>
        <v>564275.49492351105</v>
      </c>
      <c r="CI8" s="509">
        <f t="shared" si="35"/>
        <v>564275.49492351105</v>
      </c>
      <c r="CJ8" s="509">
        <f t="shared" si="47"/>
        <v>1692826.4847705332</v>
      </c>
      <c r="CK8" s="133"/>
      <c r="CL8" s="134"/>
    </row>
    <row r="9" spans="1:179" s="144" customFormat="1" ht="9.75" customHeight="1" x14ac:dyDescent="0.15">
      <c r="A9" s="470" t="s">
        <v>135</v>
      </c>
      <c r="B9" s="135">
        <v>0.05</v>
      </c>
      <c r="C9" s="136">
        <v>-2E-3</v>
      </c>
      <c r="D9" s="625"/>
      <c r="E9" s="289"/>
      <c r="F9" s="137">
        <v>0.01</v>
      </c>
      <c r="G9" s="138">
        <v>0.03</v>
      </c>
      <c r="H9" s="483">
        <f>SUM(IF((0*(IF(ISBLANK(E9),C9,E9)))+(IF(ISBLANK(D9),B9,D9)) &lt; 0, 0, (0*(IF(ISBLANK(E9),C9,E9)))+(IF(ISBLANK(D9),B9,D9))))</f>
        <v>0.05</v>
      </c>
      <c r="I9" s="483">
        <f>SUM(IF((1*(IF(ISBLANK(E9),C9,E9)))+(IF(ISBLANK(D9),B9,D9)) &lt; 0, 0, (1*(IF(ISBLANK(E9),C9,E9)))+(IF(ISBLANK(D9),B9,D9))))</f>
        <v>4.8000000000000001E-2</v>
      </c>
      <c r="J9" s="139">
        <f>SUM(((1+F9)*(1+F9)*(1+F9)*(1+G9)*(1+G9)*(1+G9)*(1+H9)*(1+H9)*(1+H9)*(1+I9)*(1+I9)*(1+I9))-1)</f>
        <v>0.50012531730574872</v>
      </c>
      <c r="K9" s="483">
        <f>SUM(IF((2*(IF(ISBLANK(E9),C9,E9)))+(IF(ISBLANK(D9),B9,D9)) &lt; 0, 0, (2*(IF(ISBLANK(E9),C9,E9)))+(IF(ISBLANK(D9),B9,D9))))</f>
        <v>4.5999999999999999E-2</v>
      </c>
      <c r="L9" s="483">
        <f>SUM(IF((3*(IF(ISBLANK(E9),C9,E9)))+(IF(ISBLANK(D9),B9,D9)) &lt; 0, 0, (3*(IF(ISBLANK(E9),C9,E9)))+(IF(ISBLANK(D9),B9,D9))))</f>
        <v>4.4000000000000004E-2</v>
      </c>
      <c r="M9" s="483">
        <f>SUM(IF((4*(IF(ISBLANK(E9),C9,E9)))+(IF(ISBLANK(D9),B9,D9)) &lt; 0, 0, (4*(IF(ISBLANK(E9),C9,E9)))+(IF(ISBLANK(D9),B9,D9))))</f>
        <v>4.2000000000000003E-2</v>
      </c>
      <c r="N9" s="483">
        <f>SUM(IF((5*(IF(ISBLANK(E9),C9,E9)))+(IF(ISBLANK(D9),B9,D9)) &lt; 0, 0, (5*(IF(ISBLANK(E9),C9,E9)))+(IF(ISBLANK(D9),B9,D9))))</f>
        <v>0.04</v>
      </c>
      <c r="O9" s="139">
        <f>SUM(((1+K9)*(1+K9)*(1+K9)*(1+L9)*(1+L9)*(1+L9)*(1+M9)*(1+M9)*(1+M9)*(1+N9)*(1+N9)*(1+N9))-1)</f>
        <v>0.65729463469142413</v>
      </c>
      <c r="P9" s="483">
        <f>SUM(IF((6*(IF(ISBLANK(E9),C9,E9)))+(IF(ISBLANK(D9),B9,D9)) &lt; 0, 0, (6*(IF(ISBLANK(E9),C9,E9)))+(IF(ISBLANK(D9),B9,D9))))</f>
        <v>3.8000000000000006E-2</v>
      </c>
      <c r="Q9" s="483">
        <f>SUM(IF((7*(IF(ISBLANK(E9),C9,E9)))+(IF(ISBLANK(D9),B9,D9)) &lt; 0, 0, (7*(IF(ISBLANK(E9),C9,E9)))+(IF(ISBLANK(D9),B9,D9))))</f>
        <v>3.6000000000000004E-2</v>
      </c>
      <c r="R9" s="483">
        <f>SUM(IF((8*(IF(ISBLANK(E9),C9,E9)))+(IF(ISBLANK(D9),B9,D9)) &lt; 0, 0, (8*(IF(ISBLANK(E9),C9,E9)))+(IF(ISBLANK(D9),B9,D9))))</f>
        <v>3.4000000000000002E-2</v>
      </c>
      <c r="S9" s="483">
        <f>SUM(IF((9*(IF(ISBLANK(E9),C9,E9)))+(IF(ISBLANK(D9),B9,D9)) &lt; 0, 0, (9*(IF(ISBLANK(E9),C9,E9)))+(IF(ISBLANK(D9),B9,D9))))</f>
        <v>3.2000000000000001E-2</v>
      </c>
      <c r="T9" s="136">
        <f>SUM(((1+P9)*(1+P9)*(1+P9)*(1+Q9)*(1+Q9)*(1+Q9)*(1+R9)*(1+R9)*(1+R9)*(1+S9)*(1+S9)*(1+S9))-1)</f>
        <v>0.5110263398141377</v>
      </c>
      <c r="U9" s="290"/>
      <c r="V9" s="141">
        <f>SUM(IF((12*(IF(ISBLANK(E9),C9,E9)))+(IF(ISBLANK(D9),B9,D9)) &lt; 0, 0, (12*(IF(ISBLANK(E9),C9,E9)))+(IF(ISBLANK(D9),B9,D9))))*12</f>
        <v>0.31200000000000006</v>
      </c>
      <c r="W9" s="139">
        <f>SUM(IF((15*(IF(ISBLANK(E9),C9,E9)))+(IF(ISBLANK(D9),B9,D9)) &lt; 0, 0, (15*(IF(ISBLANK(E9),C9,E9)))+(IF(ISBLANK(D9),B9,D9))))*12</f>
        <v>0.24000000000000005</v>
      </c>
      <c r="X9" s="140">
        <f>SUM(IF((18*(IF(ISBLANK(E9),C9,E9)))+(IF(ISBLANK(D9),B9,D9)) &lt; 0, 0, (18*(IF(ISBLANK(E9),C9,E9)))+(IF(ISBLANK(D9),B9,D9))))*12</f>
        <v>0.16799999999999998</v>
      </c>
      <c r="Y9" s="142"/>
      <c r="Z9" s="570">
        <v>0</v>
      </c>
      <c r="AA9" s="608"/>
      <c r="AB9" s="588">
        <f t="shared" si="0"/>
        <v>0.01</v>
      </c>
      <c r="AC9" s="483">
        <f t="shared" si="1"/>
        <v>0.01</v>
      </c>
      <c r="AD9" s="483">
        <f t="shared" si="2"/>
        <v>0.01</v>
      </c>
      <c r="AE9" s="483">
        <f t="shared" si="36"/>
        <v>0.03</v>
      </c>
      <c r="AF9" s="143"/>
      <c r="AG9" s="588">
        <f t="shared" si="3"/>
        <v>0.03</v>
      </c>
      <c r="AH9" s="483">
        <f t="shared" si="4"/>
        <v>0.03</v>
      </c>
      <c r="AI9" s="483">
        <f t="shared" si="5"/>
        <v>0.03</v>
      </c>
      <c r="AJ9" s="483">
        <f t="shared" si="37"/>
        <v>0.09</v>
      </c>
      <c r="AK9" s="143"/>
      <c r="AL9" s="588">
        <f t="shared" si="6"/>
        <v>0.05</v>
      </c>
      <c r="AM9" s="483">
        <f t="shared" si="7"/>
        <v>0.05</v>
      </c>
      <c r="AN9" s="483">
        <f t="shared" si="8"/>
        <v>0.05</v>
      </c>
      <c r="AO9" s="483">
        <f t="shared" si="38"/>
        <v>0.15000000000000002</v>
      </c>
      <c r="AP9" s="143"/>
      <c r="AQ9" s="588">
        <f t="shared" si="9"/>
        <v>4.8000000000000001E-2</v>
      </c>
      <c r="AR9" s="483">
        <f t="shared" si="10"/>
        <v>4.8000000000000001E-2</v>
      </c>
      <c r="AS9" s="483">
        <f t="shared" si="11"/>
        <v>4.8000000000000001E-2</v>
      </c>
      <c r="AT9" s="483">
        <f t="shared" si="39"/>
        <v>0.14400000000000002</v>
      </c>
      <c r="AU9" s="143"/>
      <c r="AV9" s="608"/>
      <c r="AW9" s="588">
        <f t="shared" si="12"/>
        <v>4.5999999999999999E-2</v>
      </c>
      <c r="AX9" s="483">
        <f t="shared" si="13"/>
        <v>4.5999999999999999E-2</v>
      </c>
      <c r="AY9" s="483">
        <f t="shared" si="14"/>
        <v>4.5999999999999999E-2</v>
      </c>
      <c r="AZ9" s="483">
        <f t="shared" si="40"/>
        <v>0.13800000000000001</v>
      </c>
      <c r="BA9" s="143"/>
      <c r="BB9" s="588">
        <f t="shared" si="15"/>
        <v>4.4000000000000004E-2</v>
      </c>
      <c r="BC9" s="483">
        <f t="shared" si="16"/>
        <v>4.4000000000000004E-2</v>
      </c>
      <c r="BD9" s="483">
        <f t="shared" si="17"/>
        <v>4.4000000000000004E-2</v>
      </c>
      <c r="BE9" s="483">
        <f t="shared" si="41"/>
        <v>0.13200000000000001</v>
      </c>
      <c r="BF9" s="143"/>
      <c r="BG9" s="588">
        <f t="shared" si="18"/>
        <v>4.2000000000000003E-2</v>
      </c>
      <c r="BH9" s="483">
        <f t="shared" si="19"/>
        <v>4.2000000000000003E-2</v>
      </c>
      <c r="BI9" s="483">
        <f t="shared" si="20"/>
        <v>4.2000000000000003E-2</v>
      </c>
      <c r="BJ9" s="483">
        <f t="shared" si="42"/>
        <v>0.126</v>
      </c>
      <c r="BK9" s="143"/>
      <c r="BL9" s="588">
        <f t="shared" si="21"/>
        <v>0.04</v>
      </c>
      <c r="BM9" s="483">
        <f t="shared" si="22"/>
        <v>0.04</v>
      </c>
      <c r="BN9" s="483">
        <f t="shared" si="23"/>
        <v>0.04</v>
      </c>
      <c r="BO9" s="483">
        <f t="shared" ref="BO9:BO15" si="51">SUM((BL9+BM9+BN9))</f>
        <v>0.12</v>
      </c>
      <c r="BP9" s="143"/>
      <c r="BQ9" s="290"/>
      <c r="BR9" s="588">
        <f t="shared" si="24"/>
        <v>3.8000000000000006E-2</v>
      </c>
      <c r="BS9" s="483">
        <f t="shared" si="25"/>
        <v>3.8000000000000006E-2</v>
      </c>
      <c r="BT9" s="483">
        <f t="shared" si="26"/>
        <v>3.8000000000000006E-2</v>
      </c>
      <c r="BU9" s="483">
        <f t="shared" ref="BU9:BU15" si="52">SUM((BR9+BS9+BT9))</f>
        <v>0.11400000000000002</v>
      </c>
      <c r="BV9" s="143"/>
      <c r="BW9" s="588">
        <f t="shared" si="27"/>
        <v>3.6000000000000004E-2</v>
      </c>
      <c r="BX9" s="483">
        <f t="shared" si="28"/>
        <v>3.6000000000000004E-2</v>
      </c>
      <c r="BY9" s="483">
        <f t="shared" si="29"/>
        <v>3.6000000000000004E-2</v>
      </c>
      <c r="BZ9" s="483">
        <f t="shared" ref="BZ9:BZ15" si="53">SUM((BW9+BX9+BY9))</f>
        <v>0.10800000000000001</v>
      </c>
      <c r="CA9" s="143"/>
      <c r="CB9" s="588">
        <f t="shared" si="30"/>
        <v>3.4000000000000002E-2</v>
      </c>
      <c r="CC9" s="483">
        <f t="shared" si="31"/>
        <v>3.4000000000000002E-2</v>
      </c>
      <c r="CD9" s="483">
        <f t="shared" si="32"/>
        <v>3.4000000000000002E-2</v>
      </c>
      <c r="CE9" s="483">
        <f t="shared" ref="CE9:CE16" si="54">SUM((CB9+CC9+CD9))</f>
        <v>0.10200000000000001</v>
      </c>
      <c r="CF9" s="143"/>
      <c r="CG9" s="588">
        <f t="shared" si="33"/>
        <v>3.2000000000000001E-2</v>
      </c>
      <c r="CH9" s="483">
        <f t="shared" si="34"/>
        <v>3.2000000000000001E-2</v>
      </c>
      <c r="CI9" s="483">
        <f t="shared" si="35"/>
        <v>3.2000000000000001E-2</v>
      </c>
      <c r="CJ9" s="483">
        <f t="shared" ref="CJ9:CJ16" si="55">SUM((CG9+CH9+CI9))</f>
        <v>9.6000000000000002E-2</v>
      </c>
      <c r="CK9" s="143"/>
    </row>
    <row r="10" spans="1:179" s="144" customFormat="1" ht="9.75" customHeight="1" x14ac:dyDescent="0.15">
      <c r="A10" s="472" t="s">
        <v>136</v>
      </c>
      <c r="B10" s="145">
        <v>0.06</v>
      </c>
      <c r="C10" s="126">
        <v>-5.0000000000000001E-3</v>
      </c>
      <c r="D10" s="626"/>
      <c r="E10" s="292"/>
      <c r="F10" s="146">
        <v>0</v>
      </c>
      <c r="G10" s="147">
        <v>0.02</v>
      </c>
      <c r="H10" s="484">
        <f t="shared" ref="H10:H13" si="56">SUM(IF((0*(IF(ISBLANK(E10),C10,E10)))+(IF(ISBLANK(D10),B10,D10)) &lt; 0, 0, (0*(IF(ISBLANK(E10),C10,E10)))+(IF(ISBLANK(D10),B10,D10))))</f>
        <v>0.06</v>
      </c>
      <c r="I10" s="484">
        <f t="shared" ref="I10:I13" si="57">SUM(IF((1*(IF(ISBLANK(E10),C10,E10)))+(IF(ISBLANK(D10),B10,D10)) &lt; 0, 0, (1*(IF(ISBLANK(E10),C10,E10)))+(IF(ISBLANK(D10),B10,D10))))</f>
        <v>5.5E-2</v>
      </c>
      <c r="J10" s="148">
        <f t="shared" ref="J10:J13" si="58">SUM(((1+F10)*(1+F10)*(1+F10)*(1+G10)*(1+G10)*(1+G10)*(1+H10)*(1+H10)*(1+H10)*(1+I10)*(1+I10)*(1+I10))-1)</f>
        <v>0.48414211805692831</v>
      </c>
      <c r="K10" s="484">
        <f t="shared" ref="K10:K13" si="59">SUM(IF((2*(IF(ISBLANK(E10),C10,E10)))+(IF(ISBLANK(D10),B10,D10)) &lt; 0, 0, (2*(IF(ISBLANK(E10),C10,E10)))+(IF(ISBLANK(D10),B10,D10))))</f>
        <v>4.9999999999999996E-2</v>
      </c>
      <c r="L10" s="484">
        <f t="shared" ref="L10:L13" si="60">SUM(IF((3*(IF(ISBLANK(E10),C10,E10)))+(IF(ISBLANK(D10),B10,D10)) &lt; 0, 0, (3*(IF(ISBLANK(E10),C10,E10)))+(IF(ISBLANK(D10),B10,D10))))</f>
        <v>4.4999999999999998E-2</v>
      </c>
      <c r="M10" s="484">
        <f t="shared" ref="M10:M13" si="61">SUM(IF((4*(IF(ISBLANK(E10),C10,E10)))+(IF(ISBLANK(D10),B10,D10)) &lt; 0, 0, (4*(IF(ISBLANK(E10),C10,E10)))+(IF(ISBLANK(D10),B10,D10))))</f>
        <v>3.9999999999999994E-2</v>
      </c>
      <c r="N10" s="484">
        <f t="shared" ref="N10:N13" si="62">SUM(IF((5*(IF(ISBLANK(E10),C10,E10)))+(IF(ISBLANK(D10),B10,D10)) &lt; 0, 0, (5*(IF(ISBLANK(E10),C10,E10)))+(IF(ISBLANK(D10),B10,D10))))</f>
        <v>3.4999999999999996E-2</v>
      </c>
      <c r="O10" s="148">
        <f t="shared" ref="O10:O15" si="63">SUM(((1+K10)*(1+K10)*(1+K10)*(1+L10)*(1+L10)*(1+L10)*(1+M10)*(1+M10)*(1+M10)*(1+N10)*(1+N10)*(1+N10))-1)</f>
        <v>0.64754708783075721</v>
      </c>
      <c r="P10" s="484">
        <f t="shared" ref="P10:P13" si="64">SUM(IF((6*(IF(ISBLANK(E10),C10,E10)))+(IF(ISBLANK(D10),B10,D10)) &lt; 0, 0, (6*(IF(ISBLANK(E10),C10,E10)))+(IF(ISBLANK(D10),B10,D10))))</f>
        <v>0.03</v>
      </c>
      <c r="Q10" s="484">
        <f t="shared" ref="Q10:Q13" si="65">SUM(IF((7*(IF(ISBLANK(E10),C10,E10)))+(IF(ISBLANK(D10),B10,D10)) &lt; 0, 0, (7*(IF(ISBLANK(E10),C10,E10)))+(IF(ISBLANK(D10),B10,D10))))</f>
        <v>2.4999999999999994E-2</v>
      </c>
      <c r="R10" s="484">
        <f t="shared" ref="R10:R13" si="66">SUM(IF((8*(IF(ISBLANK(E10),C10,E10)))+(IF(ISBLANK(D10),B10,D10)) &lt; 0, 0, (8*(IF(ISBLANK(E10),C10,E10)))+(IF(ISBLANK(D10),B10,D10))))</f>
        <v>1.9999999999999997E-2</v>
      </c>
      <c r="S10" s="484">
        <f t="shared" ref="S10:S13" si="67">SUM(IF((9*(IF(ISBLANK(E10),C10,E10)))+(IF(ISBLANK(D10),B10,D10)) &lt; 0, 0, (9*(IF(ISBLANK(E10),C10,E10)))+(IF(ISBLANK(D10),B10,D10))))</f>
        <v>1.4999999999999999E-2</v>
      </c>
      <c r="T10" s="126">
        <f t="shared" ref="T10:T15" si="68">SUM(((1+P10)*(1+P10)*(1+P10)*(1+Q10)*(1+Q10)*(1+Q10)*(1+R10)*(1+R10)*(1+R10)*(1+S10)*(1+S10)*(1+S10))-1)</f>
        <v>0.30581577950677752</v>
      </c>
      <c r="U10" s="293"/>
      <c r="V10" s="150">
        <f>SUM(IF((12*(IF(ISBLANK(E10),C10,E10)))+(IF(ISBLANK(D10),B10,D10)) &lt; 0, 0, (12*(IF(ISBLANK(E10),C10,E10)))+(IF(ISBLANK(D10),B10,D10))))*12</f>
        <v>0</v>
      </c>
      <c r="W10" s="148">
        <f>SUM(IF((15*(IF(ISBLANK(E10),C10,E10)))+(IF(ISBLANK(D10),B10,D10)) &lt; 0, 0, (15*(IF(ISBLANK(E10),C10,E10)))+(IF(ISBLANK(D10),B10,D10))))*12</f>
        <v>0</v>
      </c>
      <c r="X10" s="149">
        <f>SUM(IF((18*(IF(ISBLANK(E10),C10,E10)))+(IF(ISBLANK(D10),B10,D10)) &lt; 0, 0, (18*(IF(ISBLANK(E10),C10,E10)))+(IF(ISBLANK(D10),B10,D10))))*12</f>
        <v>0</v>
      </c>
      <c r="Y10" s="151"/>
      <c r="Z10" s="571">
        <v>0</v>
      </c>
      <c r="AA10" s="609"/>
      <c r="AB10" s="589">
        <f t="shared" si="0"/>
        <v>0</v>
      </c>
      <c r="AC10" s="484">
        <f t="shared" si="1"/>
        <v>0</v>
      </c>
      <c r="AD10" s="484">
        <f t="shared" si="2"/>
        <v>0</v>
      </c>
      <c r="AE10" s="484">
        <f t="shared" si="36"/>
        <v>0</v>
      </c>
      <c r="AF10" s="152"/>
      <c r="AG10" s="589">
        <f t="shared" si="3"/>
        <v>0.02</v>
      </c>
      <c r="AH10" s="484">
        <f t="shared" si="4"/>
        <v>0.02</v>
      </c>
      <c r="AI10" s="484">
        <f t="shared" si="5"/>
        <v>0.02</v>
      </c>
      <c r="AJ10" s="484">
        <f t="shared" si="37"/>
        <v>0.06</v>
      </c>
      <c r="AK10" s="152"/>
      <c r="AL10" s="589">
        <f t="shared" si="6"/>
        <v>0.06</v>
      </c>
      <c r="AM10" s="484">
        <f t="shared" si="7"/>
        <v>0.06</v>
      </c>
      <c r="AN10" s="484">
        <f t="shared" si="8"/>
        <v>0.06</v>
      </c>
      <c r="AO10" s="484">
        <f t="shared" si="38"/>
        <v>0.18</v>
      </c>
      <c r="AP10" s="152"/>
      <c r="AQ10" s="589">
        <f t="shared" si="9"/>
        <v>5.5E-2</v>
      </c>
      <c r="AR10" s="484">
        <f t="shared" si="10"/>
        <v>5.5E-2</v>
      </c>
      <c r="AS10" s="484">
        <f t="shared" si="11"/>
        <v>5.5E-2</v>
      </c>
      <c r="AT10" s="484">
        <f t="shared" si="39"/>
        <v>0.16500000000000001</v>
      </c>
      <c r="AU10" s="152"/>
      <c r="AV10" s="609"/>
      <c r="AW10" s="589">
        <f t="shared" si="12"/>
        <v>4.9999999999999996E-2</v>
      </c>
      <c r="AX10" s="484">
        <f t="shared" si="13"/>
        <v>4.9999999999999996E-2</v>
      </c>
      <c r="AY10" s="484">
        <f t="shared" si="14"/>
        <v>4.9999999999999996E-2</v>
      </c>
      <c r="AZ10" s="484">
        <f t="shared" si="40"/>
        <v>0.15</v>
      </c>
      <c r="BA10" s="152"/>
      <c r="BB10" s="589">
        <f t="shared" si="15"/>
        <v>4.4999999999999998E-2</v>
      </c>
      <c r="BC10" s="484">
        <f t="shared" si="16"/>
        <v>4.4999999999999998E-2</v>
      </c>
      <c r="BD10" s="484">
        <f t="shared" si="17"/>
        <v>4.4999999999999998E-2</v>
      </c>
      <c r="BE10" s="484">
        <f t="shared" si="41"/>
        <v>0.13500000000000001</v>
      </c>
      <c r="BF10" s="152"/>
      <c r="BG10" s="589">
        <f t="shared" si="18"/>
        <v>3.9999999999999994E-2</v>
      </c>
      <c r="BH10" s="484">
        <f t="shared" si="19"/>
        <v>3.9999999999999994E-2</v>
      </c>
      <c r="BI10" s="484">
        <f t="shared" si="20"/>
        <v>3.9999999999999994E-2</v>
      </c>
      <c r="BJ10" s="484">
        <f t="shared" si="42"/>
        <v>0.11999999999999998</v>
      </c>
      <c r="BK10" s="152"/>
      <c r="BL10" s="589">
        <f t="shared" si="21"/>
        <v>3.4999999999999996E-2</v>
      </c>
      <c r="BM10" s="484">
        <f t="shared" si="22"/>
        <v>3.4999999999999996E-2</v>
      </c>
      <c r="BN10" s="484">
        <f t="shared" si="23"/>
        <v>3.4999999999999996E-2</v>
      </c>
      <c r="BO10" s="484">
        <f t="shared" si="51"/>
        <v>0.10499999999999998</v>
      </c>
      <c r="BP10" s="152"/>
      <c r="BQ10" s="293"/>
      <c r="BR10" s="589">
        <f t="shared" si="24"/>
        <v>0.03</v>
      </c>
      <c r="BS10" s="484">
        <f t="shared" si="25"/>
        <v>0.03</v>
      </c>
      <c r="BT10" s="484">
        <f t="shared" si="26"/>
        <v>0.03</v>
      </c>
      <c r="BU10" s="484">
        <f t="shared" si="52"/>
        <v>0.09</v>
      </c>
      <c r="BV10" s="152"/>
      <c r="BW10" s="589">
        <f t="shared" si="27"/>
        <v>2.4999999999999994E-2</v>
      </c>
      <c r="BX10" s="484">
        <f t="shared" si="28"/>
        <v>2.4999999999999994E-2</v>
      </c>
      <c r="BY10" s="484">
        <f t="shared" si="29"/>
        <v>2.4999999999999994E-2</v>
      </c>
      <c r="BZ10" s="484">
        <f t="shared" si="53"/>
        <v>7.4999999999999983E-2</v>
      </c>
      <c r="CA10" s="152"/>
      <c r="CB10" s="589">
        <f t="shared" si="30"/>
        <v>1.9999999999999997E-2</v>
      </c>
      <c r="CC10" s="484">
        <f t="shared" si="31"/>
        <v>1.9999999999999997E-2</v>
      </c>
      <c r="CD10" s="484">
        <f t="shared" si="32"/>
        <v>1.9999999999999997E-2</v>
      </c>
      <c r="CE10" s="484">
        <f t="shared" si="54"/>
        <v>5.9999999999999991E-2</v>
      </c>
      <c r="CF10" s="152"/>
      <c r="CG10" s="589">
        <f t="shared" si="33"/>
        <v>1.4999999999999999E-2</v>
      </c>
      <c r="CH10" s="484">
        <f t="shared" si="34"/>
        <v>1.4999999999999999E-2</v>
      </c>
      <c r="CI10" s="484">
        <f t="shared" si="35"/>
        <v>1.4999999999999999E-2</v>
      </c>
      <c r="CJ10" s="484">
        <f t="shared" si="55"/>
        <v>4.4999999999999998E-2</v>
      </c>
      <c r="CK10" s="152"/>
    </row>
    <row r="11" spans="1:179" s="144" customFormat="1" ht="9.75" customHeight="1" x14ac:dyDescent="0.15">
      <c r="A11" s="472" t="s">
        <v>138</v>
      </c>
      <c r="B11" s="145">
        <v>0.06</v>
      </c>
      <c r="C11" s="126">
        <v>-2E-3</v>
      </c>
      <c r="D11" s="626"/>
      <c r="E11" s="292"/>
      <c r="F11" s="146">
        <v>0</v>
      </c>
      <c r="G11" s="147">
        <v>0.02</v>
      </c>
      <c r="H11" s="484">
        <f t="shared" si="56"/>
        <v>0.06</v>
      </c>
      <c r="I11" s="484">
        <f t="shared" si="57"/>
        <v>5.7999999999999996E-2</v>
      </c>
      <c r="J11" s="148">
        <f t="shared" si="58"/>
        <v>0.496839082842915</v>
      </c>
      <c r="K11" s="484">
        <f t="shared" si="59"/>
        <v>5.5999999999999994E-2</v>
      </c>
      <c r="L11" s="484">
        <f t="shared" si="60"/>
        <v>5.3999999999999999E-2</v>
      </c>
      <c r="M11" s="484">
        <f t="shared" si="61"/>
        <v>5.1999999999999998E-2</v>
      </c>
      <c r="N11" s="484">
        <f t="shared" si="62"/>
        <v>4.9999999999999996E-2</v>
      </c>
      <c r="O11" s="148">
        <f t="shared" si="63"/>
        <v>0.85835510009405391</v>
      </c>
      <c r="P11" s="484">
        <f t="shared" si="64"/>
        <v>4.8000000000000001E-2</v>
      </c>
      <c r="Q11" s="484">
        <f t="shared" si="65"/>
        <v>4.5999999999999999E-2</v>
      </c>
      <c r="R11" s="484">
        <f t="shared" si="66"/>
        <v>4.3999999999999997E-2</v>
      </c>
      <c r="S11" s="484">
        <f t="shared" si="67"/>
        <v>4.1999999999999996E-2</v>
      </c>
      <c r="T11" s="126">
        <f t="shared" si="68"/>
        <v>0.69583484415024044</v>
      </c>
      <c r="U11" s="293"/>
      <c r="V11" s="150">
        <f>SUM(IF((12*(IF(ISBLANK(E11),C11,E11)))+(IF(ISBLANK(D11),B11,D11)) &lt; 0, 0, (12*(IF(ISBLANK(E11),C11,E11)))+(IF(ISBLANK(D11),B11,D11))))*12</f>
        <v>0.43199999999999994</v>
      </c>
      <c r="W11" s="148">
        <f>SUM(IF((15*(IF(ISBLANK(E11),C11,E11)))+(IF(ISBLANK(D11),B11,D11)) &lt; 0, 0, (15*(IF(ISBLANK(E11),C11,E11)))+(IF(ISBLANK(D11),B11,D11))))*12</f>
        <v>0.36</v>
      </c>
      <c r="X11" s="149">
        <f>SUM(IF((18*(IF(ISBLANK(E11),C11,E11)))+(IF(ISBLANK(D11),B11,D11)) &lt; 0, 0, (18*(IF(ISBLANK(E11),C11,E11)))+(IF(ISBLANK(D11),B11,D11))))*12</f>
        <v>0.28799999999999992</v>
      </c>
      <c r="Y11" s="151"/>
      <c r="Z11" s="571">
        <v>0</v>
      </c>
      <c r="AA11" s="609"/>
      <c r="AB11" s="589">
        <f t="shared" si="0"/>
        <v>0</v>
      </c>
      <c r="AC11" s="484">
        <f t="shared" si="1"/>
        <v>0</v>
      </c>
      <c r="AD11" s="484">
        <f t="shared" si="2"/>
        <v>0</v>
      </c>
      <c r="AE11" s="484">
        <f t="shared" si="36"/>
        <v>0</v>
      </c>
      <c r="AF11" s="152"/>
      <c r="AG11" s="589">
        <f t="shared" si="3"/>
        <v>0.02</v>
      </c>
      <c r="AH11" s="484">
        <f t="shared" si="4"/>
        <v>0.02</v>
      </c>
      <c r="AI11" s="484">
        <f t="shared" si="5"/>
        <v>0.02</v>
      </c>
      <c r="AJ11" s="484">
        <f t="shared" si="37"/>
        <v>0.06</v>
      </c>
      <c r="AK11" s="152"/>
      <c r="AL11" s="589">
        <f t="shared" si="6"/>
        <v>0.06</v>
      </c>
      <c r="AM11" s="484">
        <f t="shared" si="7"/>
        <v>0.06</v>
      </c>
      <c r="AN11" s="484">
        <f t="shared" si="8"/>
        <v>0.06</v>
      </c>
      <c r="AO11" s="484">
        <f t="shared" si="38"/>
        <v>0.18</v>
      </c>
      <c r="AP11" s="152"/>
      <c r="AQ11" s="589">
        <f t="shared" si="9"/>
        <v>5.7999999999999996E-2</v>
      </c>
      <c r="AR11" s="484">
        <f t="shared" si="10"/>
        <v>5.7999999999999996E-2</v>
      </c>
      <c r="AS11" s="484">
        <f t="shared" si="11"/>
        <v>5.7999999999999996E-2</v>
      </c>
      <c r="AT11" s="484">
        <f t="shared" si="39"/>
        <v>0.17399999999999999</v>
      </c>
      <c r="AU11" s="152"/>
      <c r="AV11" s="609"/>
      <c r="AW11" s="589">
        <f t="shared" si="12"/>
        <v>5.5999999999999994E-2</v>
      </c>
      <c r="AX11" s="484">
        <f t="shared" si="13"/>
        <v>5.5999999999999994E-2</v>
      </c>
      <c r="AY11" s="484">
        <f t="shared" si="14"/>
        <v>5.5999999999999994E-2</v>
      </c>
      <c r="AZ11" s="484">
        <f t="shared" si="40"/>
        <v>0.16799999999999998</v>
      </c>
      <c r="BA11" s="152"/>
      <c r="BB11" s="589">
        <f t="shared" si="15"/>
        <v>5.3999999999999999E-2</v>
      </c>
      <c r="BC11" s="484">
        <f t="shared" si="16"/>
        <v>5.3999999999999999E-2</v>
      </c>
      <c r="BD11" s="484">
        <f t="shared" si="17"/>
        <v>5.3999999999999999E-2</v>
      </c>
      <c r="BE11" s="484">
        <f t="shared" si="41"/>
        <v>0.16200000000000001</v>
      </c>
      <c r="BF11" s="152"/>
      <c r="BG11" s="589">
        <f t="shared" si="18"/>
        <v>5.1999999999999998E-2</v>
      </c>
      <c r="BH11" s="484">
        <f t="shared" si="19"/>
        <v>5.1999999999999998E-2</v>
      </c>
      <c r="BI11" s="484">
        <f t="shared" si="20"/>
        <v>5.1999999999999998E-2</v>
      </c>
      <c r="BJ11" s="484">
        <f t="shared" si="42"/>
        <v>0.156</v>
      </c>
      <c r="BK11" s="152"/>
      <c r="BL11" s="589">
        <f t="shared" si="21"/>
        <v>4.9999999999999996E-2</v>
      </c>
      <c r="BM11" s="484">
        <f t="shared" si="22"/>
        <v>4.9999999999999996E-2</v>
      </c>
      <c r="BN11" s="484">
        <f t="shared" si="23"/>
        <v>4.9999999999999996E-2</v>
      </c>
      <c r="BO11" s="484">
        <f t="shared" si="51"/>
        <v>0.15</v>
      </c>
      <c r="BP11" s="152"/>
      <c r="BQ11" s="293"/>
      <c r="BR11" s="589">
        <f t="shared" si="24"/>
        <v>4.8000000000000001E-2</v>
      </c>
      <c r="BS11" s="484">
        <f t="shared" si="25"/>
        <v>4.8000000000000001E-2</v>
      </c>
      <c r="BT11" s="484">
        <f t="shared" si="26"/>
        <v>4.8000000000000001E-2</v>
      </c>
      <c r="BU11" s="484">
        <f t="shared" si="52"/>
        <v>0.14400000000000002</v>
      </c>
      <c r="BV11" s="152"/>
      <c r="BW11" s="589">
        <f t="shared" si="27"/>
        <v>4.5999999999999999E-2</v>
      </c>
      <c r="BX11" s="484">
        <f t="shared" si="28"/>
        <v>4.5999999999999999E-2</v>
      </c>
      <c r="BY11" s="484">
        <f t="shared" si="29"/>
        <v>4.5999999999999999E-2</v>
      </c>
      <c r="BZ11" s="484">
        <f t="shared" si="53"/>
        <v>0.13800000000000001</v>
      </c>
      <c r="CA11" s="152"/>
      <c r="CB11" s="589">
        <f t="shared" si="30"/>
        <v>4.3999999999999997E-2</v>
      </c>
      <c r="CC11" s="484">
        <f t="shared" si="31"/>
        <v>4.3999999999999997E-2</v>
      </c>
      <c r="CD11" s="484">
        <f t="shared" si="32"/>
        <v>4.3999999999999997E-2</v>
      </c>
      <c r="CE11" s="484">
        <f t="shared" si="54"/>
        <v>0.13200000000000001</v>
      </c>
      <c r="CF11" s="152"/>
      <c r="CG11" s="589">
        <f t="shared" si="33"/>
        <v>4.1999999999999996E-2</v>
      </c>
      <c r="CH11" s="484">
        <f t="shared" si="34"/>
        <v>4.1999999999999996E-2</v>
      </c>
      <c r="CI11" s="484">
        <f t="shared" si="35"/>
        <v>4.1999999999999996E-2</v>
      </c>
      <c r="CJ11" s="484">
        <f t="shared" si="55"/>
        <v>0.126</v>
      </c>
      <c r="CK11" s="152"/>
    </row>
    <row r="12" spans="1:179" s="144" customFormat="1" ht="9.75" customHeight="1" x14ac:dyDescent="0.15">
      <c r="A12" s="472" t="s">
        <v>137</v>
      </c>
      <c r="B12" s="145">
        <v>0.06</v>
      </c>
      <c r="C12" s="126">
        <v>-1.7999999999999999E-2</v>
      </c>
      <c r="D12" s="291"/>
      <c r="E12" s="292"/>
      <c r="F12" s="146">
        <v>0</v>
      </c>
      <c r="G12" s="147">
        <v>0.05</v>
      </c>
      <c r="H12" s="484">
        <f t="shared" si="56"/>
        <v>0.06</v>
      </c>
      <c r="I12" s="484">
        <f t="shared" si="57"/>
        <v>4.1999999999999996E-2</v>
      </c>
      <c r="J12" s="148">
        <f t="shared" si="58"/>
        <v>0.55987087729929375</v>
      </c>
      <c r="K12" s="484">
        <f t="shared" si="59"/>
        <v>2.4E-2</v>
      </c>
      <c r="L12" s="484">
        <f t="shared" si="60"/>
        <v>6.0000000000000053E-3</v>
      </c>
      <c r="M12" s="484">
        <f t="shared" si="61"/>
        <v>0</v>
      </c>
      <c r="N12" s="484">
        <f t="shared" si="62"/>
        <v>0</v>
      </c>
      <c r="O12" s="148">
        <f t="shared" si="63"/>
        <v>9.3185372877226058E-2</v>
      </c>
      <c r="P12" s="484">
        <f t="shared" si="64"/>
        <v>0</v>
      </c>
      <c r="Q12" s="484">
        <f t="shared" si="65"/>
        <v>0</v>
      </c>
      <c r="R12" s="484">
        <f t="shared" si="66"/>
        <v>0</v>
      </c>
      <c r="S12" s="484">
        <f t="shared" si="67"/>
        <v>0</v>
      </c>
      <c r="T12" s="126">
        <f t="shared" si="68"/>
        <v>0</v>
      </c>
      <c r="U12" s="293"/>
      <c r="V12" s="150">
        <f>SUM(IF((12*(IF(ISBLANK(E12),C12,E12)))+(IF(ISBLANK(D12),B12,D12)) &lt; 0, 0, (12*(IF(ISBLANK(E12),C12,E12)))+(IF(ISBLANK(D12),B12,D12))))*12</f>
        <v>0</v>
      </c>
      <c r="W12" s="148">
        <f>SUM(IF((15*(IF(ISBLANK(E12),C12,E12)))+(IF(ISBLANK(D12),B12,D12)) &lt; 0, 0, (15*(IF(ISBLANK(E12),C12,E12)))+(IF(ISBLANK(D12),B12,D12))))*12</f>
        <v>0</v>
      </c>
      <c r="X12" s="149">
        <f>SUM(IF((18*(IF(ISBLANK(E12),C12,E12)))+(IF(ISBLANK(D12),B12,D12)) &lt; 0, 0, (18*(IF(ISBLANK(E12),C12,E12)))+(IF(ISBLANK(D12),B12,D12))))*12</f>
        <v>0</v>
      </c>
      <c r="Y12" s="151"/>
      <c r="Z12" s="571">
        <v>0</v>
      </c>
      <c r="AA12" s="609"/>
      <c r="AB12" s="589">
        <f t="shared" si="0"/>
        <v>0</v>
      </c>
      <c r="AC12" s="484">
        <f t="shared" si="1"/>
        <v>0</v>
      </c>
      <c r="AD12" s="484">
        <f t="shared" si="2"/>
        <v>0</v>
      </c>
      <c r="AE12" s="484">
        <f t="shared" si="36"/>
        <v>0</v>
      </c>
      <c r="AF12" s="152"/>
      <c r="AG12" s="589">
        <f t="shared" si="3"/>
        <v>0.05</v>
      </c>
      <c r="AH12" s="484">
        <f t="shared" si="4"/>
        <v>0.05</v>
      </c>
      <c r="AI12" s="484">
        <f t="shared" si="5"/>
        <v>0.05</v>
      </c>
      <c r="AJ12" s="484">
        <f t="shared" si="37"/>
        <v>0.15000000000000002</v>
      </c>
      <c r="AK12" s="152"/>
      <c r="AL12" s="589">
        <f t="shared" si="6"/>
        <v>0.06</v>
      </c>
      <c r="AM12" s="484">
        <f t="shared" si="7"/>
        <v>0.06</v>
      </c>
      <c r="AN12" s="484">
        <f t="shared" si="8"/>
        <v>0.06</v>
      </c>
      <c r="AO12" s="484">
        <f t="shared" si="38"/>
        <v>0.18</v>
      </c>
      <c r="AP12" s="152"/>
      <c r="AQ12" s="589">
        <f t="shared" si="9"/>
        <v>4.1999999999999996E-2</v>
      </c>
      <c r="AR12" s="484">
        <f t="shared" si="10"/>
        <v>4.1999999999999996E-2</v>
      </c>
      <c r="AS12" s="484">
        <f t="shared" si="11"/>
        <v>4.1999999999999996E-2</v>
      </c>
      <c r="AT12" s="484">
        <f t="shared" si="39"/>
        <v>0.126</v>
      </c>
      <c r="AU12" s="152"/>
      <c r="AV12" s="609"/>
      <c r="AW12" s="589">
        <f t="shared" si="12"/>
        <v>2.4E-2</v>
      </c>
      <c r="AX12" s="484">
        <f t="shared" si="13"/>
        <v>2.4E-2</v>
      </c>
      <c r="AY12" s="484">
        <f t="shared" si="14"/>
        <v>2.4E-2</v>
      </c>
      <c r="AZ12" s="484">
        <f t="shared" si="40"/>
        <v>7.2000000000000008E-2</v>
      </c>
      <c r="BA12" s="152"/>
      <c r="BB12" s="589">
        <f t="shared" si="15"/>
        <v>6.0000000000000053E-3</v>
      </c>
      <c r="BC12" s="484">
        <f t="shared" si="16"/>
        <v>6.0000000000000053E-3</v>
      </c>
      <c r="BD12" s="484">
        <f t="shared" si="17"/>
        <v>6.0000000000000053E-3</v>
      </c>
      <c r="BE12" s="484">
        <f t="shared" si="41"/>
        <v>1.8000000000000016E-2</v>
      </c>
      <c r="BF12" s="152"/>
      <c r="BG12" s="589">
        <f t="shared" si="18"/>
        <v>0</v>
      </c>
      <c r="BH12" s="484">
        <f t="shared" si="19"/>
        <v>0</v>
      </c>
      <c r="BI12" s="484">
        <f t="shared" si="20"/>
        <v>0</v>
      </c>
      <c r="BJ12" s="484">
        <f t="shared" si="42"/>
        <v>0</v>
      </c>
      <c r="BK12" s="152"/>
      <c r="BL12" s="589">
        <f t="shared" si="21"/>
        <v>0</v>
      </c>
      <c r="BM12" s="484">
        <f t="shared" si="22"/>
        <v>0</v>
      </c>
      <c r="BN12" s="484">
        <f t="shared" si="23"/>
        <v>0</v>
      </c>
      <c r="BO12" s="484">
        <f t="shared" si="51"/>
        <v>0</v>
      </c>
      <c r="BP12" s="152"/>
      <c r="BQ12" s="293"/>
      <c r="BR12" s="589">
        <f t="shared" si="24"/>
        <v>0</v>
      </c>
      <c r="BS12" s="484">
        <f t="shared" si="25"/>
        <v>0</v>
      </c>
      <c r="BT12" s="484">
        <f t="shared" si="26"/>
        <v>0</v>
      </c>
      <c r="BU12" s="484">
        <f t="shared" si="52"/>
        <v>0</v>
      </c>
      <c r="BV12" s="152"/>
      <c r="BW12" s="589">
        <f t="shared" si="27"/>
        <v>0</v>
      </c>
      <c r="BX12" s="484">
        <f t="shared" si="28"/>
        <v>0</v>
      </c>
      <c r="BY12" s="484">
        <f t="shared" si="29"/>
        <v>0</v>
      </c>
      <c r="BZ12" s="484">
        <f t="shared" si="53"/>
        <v>0</v>
      </c>
      <c r="CA12" s="152"/>
      <c r="CB12" s="589">
        <f t="shared" si="30"/>
        <v>0</v>
      </c>
      <c r="CC12" s="484">
        <f t="shared" si="31"/>
        <v>0</v>
      </c>
      <c r="CD12" s="484">
        <f t="shared" si="32"/>
        <v>0</v>
      </c>
      <c r="CE12" s="484">
        <f t="shared" si="54"/>
        <v>0</v>
      </c>
      <c r="CF12" s="152"/>
      <c r="CG12" s="589">
        <f t="shared" si="33"/>
        <v>0</v>
      </c>
      <c r="CH12" s="484">
        <f t="shared" si="34"/>
        <v>0</v>
      </c>
      <c r="CI12" s="484">
        <f t="shared" si="35"/>
        <v>0</v>
      </c>
      <c r="CJ12" s="484">
        <f t="shared" si="55"/>
        <v>0</v>
      </c>
      <c r="CK12" s="152"/>
      <c r="CL12" s="153"/>
      <c r="CM12" s="153"/>
      <c r="CN12" s="153"/>
      <c r="CO12" s="153"/>
      <c r="CP12" s="153"/>
      <c r="CQ12" s="153"/>
      <c r="CR12" s="153"/>
      <c r="CS12" s="153"/>
      <c r="CT12" s="153"/>
      <c r="CU12" s="153"/>
      <c r="CV12" s="153"/>
      <c r="CW12" s="153"/>
      <c r="CX12" s="153"/>
      <c r="CY12" s="153"/>
      <c r="CZ12" s="153"/>
      <c r="DA12" s="153"/>
      <c r="DB12" s="153"/>
      <c r="DC12" s="153"/>
      <c r="DD12" s="153"/>
      <c r="DE12" s="153"/>
      <c r="DF12" s="153"/>
      <c r="DG12" s="153"/>
      <c r="DH12" s="153"/>
      <c r="DI12" s="153"/>
      <c r="DJ12" s="153"/>
      <c r="DK12" s="153"/>
      <c r="DL12" s="153"/>
      <c r="DM12" s="153"/>
      <c r="DN12" s="153"/>
      <c r="DO12" s="153"/>
      <c r="DP12" s="153"/>
      <c r="DQ12" s="153"/>
      <c r="DR12" s="153"/>
      <c r="DS12" s="153"/>
      <c r="DT12" s="153"/>
      <c r="DU12" s="153"/>
      <c r="DV12" s="153"/>
      <c r="DW12" s="153"/>
      <c r="DX12" s="153"/>
      <c r="DY12" s="153"/>
      <c r="DZ12" s="153"/>
      <c r="EA12" s="153"/>
      <c r="EB12" s="153"/>
      <c r="EC12" s="153"/>
      <c r="ED12" s="153"/>
      <c r="EE12" s="153"/>
      <c r="EF12" s="153"/>
      <c r="EG12" s="153"/>
      <c r="EH12" s="153"/>
      <c r="EI12" s="153"/>
      <c r="EJ12" s="153"/>
      <c r="EK12" s="153"/>
      <c r="EL12" s="153"/>
      <c r="EM12" s="153"/>
      <c r="EN12" s="153"/>
      <c r="EO12" s="153"/>
      <c r="EP12" s="153"/>
      <c r="EQ12" s="153"/>
      <c r="ER12" s="153"/>
      <c r="ES12" s="153"/>
      <c r="ET12" s="153"/>
      <c r="EU12" s="153"/>
      <c r="EV12" s="153"/>
      <c r="EW12" s="153"/>
      <c r="EX12" s="153"/>
      <c r="EY12" s="153"/>
      <c r="EZ12" s="153"/>
      <c r="FA12" s="153"/>
      <c r="FB12" s="153"/>
      <c r="FC12" s="153"/>
      <c r="FD12" s="153"/>
      <c r="FE12" s="153"/>
      <c r="FF12" s="153"/>
      <c r="FG12" s="153"/>
      <c r="FH12" s="153"/>
      <c r="FI12" s="153"/>
      <c r="FJ12" s="153"/>
      <c r="FK12" s="153"/>
      <c r="FL12" s="153"/>
      <c r="FM12" s="153"/>
      <c r="FN12" s="153"/>
      <c r="FO12" s="153"/>
      <c r="FP12" s="153"/>
      <c r="FQ12" s="153"/>
      <c r="FR12" s="153"/>
      <c r="FS12" s="153"/>
      <c r="FT12" s="153"/>
      <c r="FU12" s="153"/>
      <c r="FV12" s="153"/>
      <c r="FW12" s="153"/>
    </row>
    <row r="13" spans="1:179" s="144" customFormat="1" ht="9.75" customHeight="1" thickBot="1" x14ac:dyDescent="0.2">
      <c r="A13" s="512" t="s">
        <v>139</v>
      </c>
      <c r="B13" s="154">
        <v>0.04</v>
      </c>
      <c r="C13" s="155">
        <v>-1.4999999999999999E-2</v>
      </c>
      <c r="D13" s="627"/>
      <c r="E13" s="295"/>
      <c r="F13" s="156">
        <v>0</v>
      </c>
      <c r="G13" s="157">
        <v>0</v>
      </c>
      <c r="H13" s="485">
        <f t="shared" si="56"/>
        <v>0.04</v>
      </c>
      <c r="I13" s="485">
        <f t="shared" si="57"/>
        <v>2.5000000000000001E-2</v>
      </c>
      <c r="J13" s="158">
        <f t="shared" si="58"/>
        <v>0.2113554959999997</v>
      </c>
      <c r="K13" s="485">
        <f t="shared" si="59"/>
        <v>1.0000000000000002E-2</v>
      </c>
      <c r="L13" s="485">
        <f t="shared" si="60"/>
        <v>0</v>
      </c>
      <c r="M13" s="485">
        <f t="shared" si="61"/>
        <v>0</v>
      </c>
      <c r="N13" s="485">
        <f t="shared" si="62"/>
        <v>0</v>
      </c>
      <c r="O13" s="158">
        <f t="shared" si="63"/>
        <v>3.0300999999999911E-2</v>
      </c>
      <c r="P13" s="485">
        <f t="shared" si="64"/>
        <v>0</v>
      </c>
      <c r="Q13" s="485">
        <f t="shared" si="65"/>
        <v>0</v>
      </c>
      <c r="R13" s="485">
        <f t="shared" si="66"/>
        <v>0</v>
      </c>
      <c r="S13" s="485">
        <f t="shared" si="67"/>
        <v>0</v>
      </c>
      <c r="T13" s="155">
        <f t="shared" si="68"/>
        <v>0</v>
      </c>
      <c r="U13" s="296"/>
      <c r="V13" s="160">
        <f>SUM(IF((12*(IF(ISBLANK(E13),C13,E13)))+(IF(ISBLANK(D13),B13,D13)) &lt; 0, 0, (12*(IF(ISBLANK(E13),C13,E13)))+(IF(ISBLANK(D13),B13,D13))))*12</f>
        <v>0</v>
      </c>
      <c r="W13" s="158">
        <f>SUM(IF((15*(IF(ISBLANK(E13),C13,E13)))+(IF(ISBLANK(D13),B13,D13)) &lt; 0, 0, (15*(IF(ISBLANK(E13),C13,E13)))+(IF(ISBLANK(D13),B13,D13))))*12</f>
        <v>0</v>
      </c>
      <c r="X13" s="159">
        <f>SUM(IF((18*(IF(ISBLANK(E13),C13,E13)))+(IF(ISBLANK(D13),B13,D13)) &lt; 0, 0, (18*(IF(ISBLANK(E13),C13,E13)))+(IF(ISBLANK(D13),B13,D13))))*12</f>
        <v>0</v>
      </c>
      <c r="Y13" s="161"/>
      <c r="Z13" s="572">
        <v>0</v>
      </c>
      <c r="AA13" s="610"/>
      <c r="AB13" s="590">
        <f t="shared" si="0"/>
        <v>0</v>
      </c>
      <c r="AC13" s="485">
        <f t="shared" si="1"/>
        <v>0</v>
      </c>
      <c r="AD13" s="485">
        <f t="shared" si="2"/>
        <v>0</v>
      </c>
      <c r="AE13" s="485">
        <f t="shared" si="36"/>
        <v>0</v>
      </c>
      <c r="AF13" s="162"/>
      <c r="AG13" s="590">
        <f t="shared" si="3"/>
        <v>0</v>
      </c>
      <c r="AH13" s="485">
        <f t="shared" si="4"/>
        <v>0</v>
      </c>
      <c r="AI13" s="485">
        <f t="shared" si="5"/>
        <v>0</v>
      </c>
      <c r="AJ13" s="485">
        <f t="shared" si="37"/>
        <v>0</v>
      </c>
      <c r="AK13" s="162"/>
      <c r="AL13" s="590">
        <f t="shared" si="6"/>
        <v>0.04</v>
      </c>
      <c r="AM13" s="485">
        <f t="shared" si="7"/>
        <v>0.04</v>
      </c>
      <c r="AN13" s="485">
        <f t="shared" si="8"/>
        <v>0.04</v>
      </c>
      <c r="AO13" s="485">
        <f t="shared" si="38"/>
        <v>0.12</v>
      </c>
      <c r="AP13" s="162"/>
      <c r="AQ13" s="590">
        <f t="shared" si="9"/>
        <v>2.5000000000000001E-2</v>
      </c>
      <c r="AR13" s="485">
        <f t="shared" si="10"/>
        <v>2.5000000000000001E-2</v>
      </c>
      <c r="AS13" s="485">
        <f t="shared" si="11"/>
        <v>2.5000000000000001E-2</v>
      </c>
      <c r="AT13" s="485">
        <f t="shared" si="39"/>
        <v>7.5000000000000011E-2</v>
      </c>
      <c r="AU13" s="162"/>
      <c r="AV13" s="610"/>
      <c r="AW13" s="590">
        <f t="shared" si="12"/>
        <v>1.0000000000000002E-2</v>
      </c>
      <c r="AX13" s="485">
        <f t="shared" si="13"/>
        <v>1.0000000000000002E-2</v>
      </c>
      <c r="AY13" s="485">
        <f t="shared" si="14"/>
        <v>1.0000000000000002E-2</v>
      </c>
      <c r="AZ13" s="485">
        <f t="shared" si="40"/>
        <v>3.0000000000000006E-2</v>
      </c>
      <c r="BA13" s="162"/>
      <c r="BB13" s="590">
        <f t="shared" si="15"/>
        <v>0</v>
      </c>
      <c r="BC13" s="485">
        <f t="shared" si="16"/>
        <v>0</v>
      </c>
      <c r="BD13" s="485">
        <f t="shared" si="17"/>
        <v>0</v>
      </c>
      <c r="BE13" s="485">
        <f t="shared" si="41"/>
        <v>0</v>
      </c>
      <c r="BF13" s="162"/>
      <c r="BG13" s="590">
        <f t="shared" si="18"/>
        <v>0</v>
      </c>
      <c r="BH13" s="485">
        <f t="shared" si="19"/>
        <v>0</v>
      </c>
      <c r="BI13" s="485">
        <f t="shared" si="20"/>
        <v>0</v>
      </c>
      <c r="BJ13" s="485">
        <f t="shared" si="42"/>
        <v>0</v>
      </c>
      <c r="BK13" s="162"/>
      <c r="BL13" s="590">
        <f t="shared" si="21"/>
        <v>0</v>
      </c>
      <c r="BM13" s="485">
        <f t="shared" si="22"/>
        <v>0</v>
      </c>
      <c r="BN13" s="485">
        <f t="shared" si="23"/>
        <v>0</v>
      </c>
      <c r="BO13" s="485">
        <f t="shared" si="51"/>
        <v>0</v>
      </c>
      <c r="BP13" s="162"/>
      <c r="BQ13" s="296"/>
      <c r="BR13" s="590">
        <f t="shared" si="24"/>
        <v>0</v>
      </c>
      <c r="BS13" s="485">
        <f t="shared" si="25"/>
        <v>0</v>
      </c>
      <c r="BT13" s="485">
        <f t="shared" si="26"/>
        <v>0</v>
      </c>
      <c r="BU13" s="485">
        <f t="shared" si="52"/>
        <v>0</v>
      </c>
      <c r="BV13" s="162"/>
      <c r="BW13" s="590">
        <f t="shared" si="27"/>
        <v>0</v>
      </c>
      <c r="BX13" s="485">
        <f t="shared" si="28"/>
        <v>0</v>
      </c>
      <c r="BY13" s="485">
        <f t="shared" si="29"/>
        <v>0</v>
      </c>
      <c r="BZ13" s="485">
        <f t="shared" si="53"/>
        <v>0</v>
      </c>
      <c r="CA13" s="162"/>
      <c r="CB13" s="590">
        <f t="shared" si="30"/>
        <v>0</v>
      </c>
      <c r="CC13" s="485">
        <f t="shared" si="31"/>
        <v>0</v>
      </c>
      <c r="CD13" s="485">
        <f t="shared" si="32"/>
        <v>0</v>
      </c>
      <c r="CE13" s="485">
        <f t="shared" si="54"/>
        <v>0</v>
      </c>
      <c r="CF13" s="162"/>
      <c r="CG13" s="590">
        <f t="shared" si="33"/>
        <v>0</v>
      </c>
      <c r="CH13" s="485">
        <f t="shared" si="34"/>
        <v>0</v>
      </c>
      <c r="CI13" s="485">
        <f t="shared" si="35"/>
        <v>0</v>
      </c>
      <c r="CJ13" s="485">
        <f t="shared" si="55"/>
        <v>0</v>
      </c>
      <c r="CK13" s="162"/>
      <c r="CL13" s="153"/>
      <c r="CM13" s="153"/>
      <c r="CN13" s="153"/>
      <c r="CO13" s="153"/>
      <c r="CP13" s="153"/>
      <c r="CQ13" s="153"/>
      <c r="CR13" s="153"/>
      <c r="CS13" s="153"/>
      <c r="CT13" s="153"/>
      <c r="CU13" s="153"/>
      <c r="CV13" s="153"/>
      <c r="CW13" s="153"/>
      <c r="CX13" s="153"/>
      <c r="CY13" s="153"/>
      <c r="CZ13" s="153"/>
      <c r="DA13" s="153"/>
      <c r="DB13" s="153"/>
      <c r="DC13" s="153"/>
      <c r="DD13" s="153"/>
      <c r="DE13" s="153"/>
      <c r="DF13" s="153"/>
      <c r="DG13" s="153"/>
      <c r="DH13" s="153"/>
      <c r="DI13" s="153"/>
      <c r="DJ13" s="153"/>
      <c r="DK13" s="153"/>
      <c r="DL13" s="153"/>
      <c r="DM13" s="153"/>
      <c r="DN13" s="153"/>
      <c r="DO13" s="153"/>
      <c r="DP13" s="153"/>
      <c r="DQ13" s="153"/>
      <c r="DR13" s="153"/>
      <c r="DS13" s="153"/>
      <c r="DT13" s="153"/>
      <c r="DU13" s="153"/>
      <c r="DV13" s="153"/>
      <c r="DW13" s="153"/>
      <c r="DX13" s="153"/>
      <c r="DY13" s="153"/>
      <c r="DZ13" s="153"/>
      <c r="EA13" s="153"/>
      <c r="EB13" s="153"/>
      <c r="EC13" s="153"/>
      <c r="ED13" s="153"/>
      <c r="EE13" s="153"/>
      <c r="EF13" s="153"/>
      <c r="EG13" s="153"/>
      <c r="EH13" s="153"/>
      <c r="EI13" s="153"/>
      <c r="EJ13" s="153"/>
      <c r="EK13" s="153"/>
      <c r="EL13" s="153"/>
      <c r="EM13" s="153"/>
      <c r="EN13" s="153"/>
      <c r="EO13" s="153"/>
      <c r="EP13" s="153"/>
      <c r="EQ13" s="153"/>
      <c r="ER13" s="153"/>
      <c r="ES13" s="153"/>
      <c r="ET13" s="153"/>
      <c r="EU13" s="153"/>
      <c r="EV13" s="153"/>
      <c r="EW13" s="153"/>
      <c r="EX13" s="153"/>
      <c r="EY13" s="153"/>
      <c r="EZ13" s="153"/>
      <c r="FA13" s="153"/>
      <c r="FB13" s="153"/>
      <c r="FC13" s="153"/>
      <c r="FD13" s="153"/>
      <c r="FE13" s="153"/>
      <c r="FF13" s="153"/>
      <c r="FG13" s="153"/>
      <c r="FH13" s="153"/>
      <c r="FI13" s="153"/>
      <c r="FJ13" s="153"/>
      <c r="FK13" s="153"/>
      <c r="FL13" s="153"/>
      <c r="FM13" s="153"/>
      <c r="FN13" s="153"/>
      <c r="FO13" s="153"/>
      <c r="FP13" s="153"/>
      <c r="FQ13" s="153"/>
      <c r="FR13" s="153"/>
      <c r="FS13" s="153"/>
      <c r="FT13" s="153"/>
      <c r="FU13" s="153"/>
      <c r="FV13" s="153"/>
      <c r="FW13" s="153"/>
    </row>
    <row r="14" spans="1:179" s="144" customFormat="1" ht="9.75" customHeight="1" x14ac:dyDescent="0.15">
      <c r="A14" s="471" t="s">
        <v>140</v>
      </c>
      <c r="B14" s="163">
        <v>5000000</v>
      </c>
      <c r="C14" s="297">
        <v>3000000000</v>
      </c>
      <c r="D14" s="165"/>
      <c r="E14" s="298"/>
      <c r="F14" s="498">
        <f>SUM(IF(((1-(Z18/(IF(ISBLANK(D14),B14,(IF(D14=0,9.99999999999999E+29,D14))))))*SUM(F9:F13))&lt;0,0,((1-(Z18/(IF(ISBLANK(D14),B14,(IF(D14=0,9.99999999999999E+29,D14))))))*SUM(F9:F13))))</f>
        <v>9.9970000000000007E-3</v>
      </c>
      <c r="G14" s="499">
        <f>SUM(IF(((1-(F18/(IF(ISBLANK(D14),B14,(IF(D14=0,9.99999999999999E+29,D14))))))*SUM(G9:G13))&lt;0,0,((1-(F18/(IF(ISBLANK(D14),B14,(IF(D14=0,9.99999999999999E+29,D14))))))*SUM(G9:G13))))</f>
        <v>0.1199485148622277</v>
      </c>
      <c r="H14" s="499">
        <f>SUM(IF(((1-(G18/(IF(ISBLANK(D14),B14,(IF(D14=0,9.99999999999999E+29,D14))))))*SUM(H9:H13))&lt;0,0,((1-(G18/(IF(ISBLANK(D14),B14,(IF(D14=0,9.99999999999999E+29,D14))))))*SUM(H9:H13))))</f>
        <v>0.26972357323574297</v>
      </c>
      <c r="I14" s="499">
        <f>SUM(IF(((1-(H18/(IF(ISBLANK(D14),B14,(IF(D14=0,9.99999999999999E+29,D14))))))*SUM(I9:I13))&lt;0,0,((1-(H18/(IF(ISBLANK(D14),B14,(IF(D14=0,9.99999999999999E+29,D14))))))*SUM(I9:I13))))</f>
        <v>0.22652722592433161</v>
      </c>
      <c r="J14" s="500">
        <f>SUM(((1+F14)*(1+F14)*(1+F14)*(1+G14)*(1+G14)*(1+G14)*(1+H14)*(1+H14)*(1+H14)*(1+I14)*(1+I14)*(1+I14))-1)</f>
        <v>4.4665528680007425</v>
      </c>
      <c r="K14" s="499">
        <f>SUM(IF(((1-(I18/(IF(ISBLANK(E14),C14,(IF(E14=0,9.99999999999999E+29,E14))))))*SUM(K9:K13))&lt;0,0,((1-(I18/(IF(ISBLANK(E14),C14,(IF(E14=0,9.99999999999999E+29,E14))))))*SUM(K9:K13))))</f>
        <v>0.18599569674027838</v>
      </c>
      <c r="L14" s="499">
        <f>SUM(IF(((1-(K18/(IF(ISBLANK(E14),C14,(IF(E14=0,9.99999999999999E+29,E14))))))*SUM(L9:L13))&lt;0,0,((1-(K18/(IF(ISBLANK(E14),C14,(IF(E14=0,9.99999999999999E+29,E14))))))*SUM(L9:L13))))</f>
        <v>0.14899411365410911</v>
      </c>
      <c r="M14" s="499">
        <f>SUM(IF(((1-(L18/(IF(ISBLANK(E14),C14,(IF(E14=0,9.99999999999999E+29,E14))))))*SUM(M9:M13))&lt;0,0,((1-(L18/(IF(ISBLANK(E14),C14,(IF(E14=0,9.99999999999999E+29,E14))))))*SUM(M9:M13))))</f>
        <v>0.13399166071272103</v>
      </c>
      <c r="N14" s="499">
        <f>SUM(IF(((1-(M18/(IF(ISBLANK(E14),C14,(IF(E14=0,9.99999999999999E+29,E14))))))*SUM(N9:N13))&lt;0,0,((1-(M18/(IF(ISBLANK(E14),C14,(IF(E14=0,9.99999999999999E+29,E14))))))*SUM(N9:N13))))</f>
        <v>0.12498778664736426</v>
      </c>
      <c r="O14" s="501">
        <f t="shared" si="63"/>
        <v>4.2538268567210054</v>
      </c>
      <c r="P14" s="499">
        <f>SUM(IF(((1-(N18/(IF(ISBLANK(E14),C14,(IF(E14=0,9.99999999999999E+29,E14))))))*SUM(P9:P13))&lt;0,0,((1-(N18/(IF(ISBLANK(E14),C14,(IF(E14=0,9.99999999999999E+29,E14))))))*SUM(P9:P13))))</f>
        <v>0.11598154213944774</v>
      </c>
      <c r="Q14" s="499">
        <f>SUM(IF(((1-(P18/(IF(ISBLANK(E14),C14,(IF(E14=0,9.99999999999999E+29,E14))))))*SUM(Q9:Q13))&lt;0,0,((1-(P18/(IF(ISBLANK(E14),C14,(IF(E14=0,9.99999999999999E+29,E14))))))*SUM(Q9:Q13))))</f>
        <v>0.10697148204724473</v>
      </c>
      <c r="R14" s="499">
        <f>SUM(IF(((1-(Q18/(IF(ISBLANK(E14),C14,(IF(E14=0,9.99999999999999E+29,E14))))))*SUM(R9:R13))&lt;0,0,((1-(Q18/(IF(ISBLANK(E14),C14,(IF(E14=0,9.99999999999999E+29,E14))))))*SUM(R9:R13))))</f>
        <v>9.7954943391938859E-2</v>
      </c>
      <c r="S14" s="499">
        <f>SUM(IF(((1-(R18/(IF(ISBLANK(E14),C14,(IF(E14=0,9.99999999999999E+29,E14))))))*SUM(S9:S13))&lt;0,0,((1-(R18/(IF(ISBLANK(E14),C14,(IF(E14=0,9.99999999999999E+29,E14))))))*SUM(S9:S13))))</f>
        <v>8.892625207760893E-2</v>
      </c>
      <c r="T14" s="503">
        <f t="shared" si="68"/>
        <v>2.2220278654866847</v>
      </c>
      <c r="U14" s="537"/>
      <c r="V14" s="640">
        <f>SUM(IF(((1-(T18/(IF(ISBLANK(E14),C14,(IF(E14=0,9.99999999999999E+29,E14))))))*SUM(V9:V13))&lt;0,0,((1-(T18/(IF(ISBLANK(E14),C14,(IF(E14=0,9.99999999999999E+29,E14))))))*SUM(V9:V13))))</f>
        <v>0.74285274429458414</v>
      </c>
      <c r="W14" s="500">
        <f>SUM(IF(((1-(V18/(IF(ISBLANK(E14),C14,(IF(E14=0,9.99999999999999E+29,E14))))))*SUM(W9:W13))&lt;0,0,((1-(V18/(IF(ISBLANK(E14),C14,(IF(E14=0,9.99999999999999E+29,E14))))))*SUM(W9:W13))))</f>
        <v>0.59741303733650619</v>
      </c>
      <c r="X14" s="641">
        <f>SUM(IF(((1-(W18/(IF(ISBLANK(E14),C14,(IF(E14=0,9.99999999999999E+29,E14))))))*SUM(X9:X13))&lt;0,0,((1-(W18/(IF(ISBLANK(E14),C14,(IF(E14=0,9.99999999999999E+29,E14))))))*SUM(X9:X13))))</f>
        <v>0.45194656859086352</v>
      </c>
      <c r="Y14" s="537"/>
      <c r="Z14" s="573">
        <v>0</v>
      </c>
      <c r="AA14" s="611"/>
      <c r="AB14" s="591">
        <f t="shared" si="0"/>
        <v>9.9970000000000007E-3</v>
      </c>
      <c r="AC14" s="499">
        <f t="shared" si="1"/>
        <v>9.9970000000000007E-3</v>
      </c>
      <c r="AD14" s="499">
        <f t="shared" si="2"/>
        <v>9.9970000000000007E-3</v>
      </c>
      <c r="AE14" s="499">
        <f t="shared" si="36"/>
        <v>2.9991000000000004E-2</v>
      </c>
      <c r="AF14" s="597"/>
      <c r="AG14" s="591">
        <f t="shared" si="3"/>
        <v>0.1199485148622277</v>
      </c>
      <c r="AH14" s="499">
        <f t="shared" si="4"/>
        <v>0.1199485148622277</v>
      </c>
      <c r="AI14" s="499">
        <f t="shared" si="5"/>
        <v>0.1199485148622277</v>
      </c>
      <c r="AJ14" s="499">
        <f t="shared" si="37"/>
        <v>0.35984554458668311</v>
      </c>
      <c r="AK14" s="597"/>
      <c r="AL14" s="591">
        <f t="shared" si="6"/>
        <v>0.26972357323574297</v>
      </c>
      <c r="AM14" s="499">
        <f t="shared" si="7"/>
        <v>0.26972357323574297</v>
      </c>
      <c r="AN14" s="499">
        <f t="shared" si="8"/>
        <v>0.26972357323574297</v>
      </c>
      <c r="AO14" s="499">
        <f t="shared" si="38"/>
        <v>0.80917071970722887</v>
      </c>
      <c r="AP14" s="597"/>
      <c r="AQ14" s="591">
        <f t="shared" si="9"/>
        <v>0.22652722592433161</v>
      </c>
      <c r="AR14" s="499">
        <f t="shared" si="10"/>
        <v>0.22652722592433161</v>
      </c>
      <c r="AS14" s="499">
        <f t="shared" si="11"/>
        <v>0.22652722592433161</v>
      </c>
      <c r="AT14" s="499">
        <f t="shared" si="39"/>
        <v>0.67958167777299483</v>
      </c>
      <c r="AU14" s="597"/>
      <c r="AV14" s="611"/>
      <c r="AW14" s="591">
        <f t="shared" si="12"/>
        <v>0.18599569674027838</v>
      </c>
      <c r="AX14" s="499">
        <f t="shared" si="13"/>
        <v>0.18599569674027838</v>
      </c>
      <c r="AY14" s="499">
        <f t="shared" si="14"/>
        <v>0.18599569674027838</v>
      </c>
      <c r="AZ14" s="499">
        <f t="shared" si="40"/>
        <v>0.55798709022083515</v>
      </c>
      <c r="BA14" s="597"/>
      <c r="BB14" s="591">
        <f t="shared" si="15"/>
        <v>0.14899411365410911</v>
      </c>
      <c r="BC14" s="499">
        <f t="shared" si="16"/>
        <v>0.14899411365410911</v>
      </c>
      <c r="BD14" s="499">
        <f t="shared" si="17"/>
        <v>0.14899411365410911</v>
      </c>
      <c r="BE14" s="499">
        <f t="shared" si="41"/>
        <v>0.44698234096232736</v>
      </c>
      <c r="BF14" s="597"/>
      <c r="BG14" s="591">
        <f t="shared" si="18"/>
        <v>0.13399166071272103</v>
      </c>
      <c r="BH14" s="499">
        <f t="shared" si="19"/>
        <v>0.13399166071272103</v>
      </c>
      <c r="BI14" s="499">
        <f t="shared" si="20"/>
        <v>0.13399166071272103</v>
      </c>
      <c r="BJ14" s="499">
        <f t="shared" si="42"/>
        <v>0.40197498213816307</v>
      </c>
      <c r="BK14" s="597"/>
      <c r="BL14" s="591">
        <f t="shared" si="21"/>
        <v>0.12498778664736426</v>
      </c>
      <c r="BM14" s="499">
        <f t="shared" si="22"/>
        <v>0.12498778664736426</v>
      </c>
      <c r="BN14" s="499">
        <f t="shared" si="23"/>
        <v>0.12498778664736426</v>
      </c>
      <c r="BO14" s="499">
        <f t="shared" si="51"/>
        <v>0.37496335994209279</v>
      </c>
      <c r="BP14" s="597"/>
      <c r="BQ14" s="537"/>
      <c r="BR14" s="591">
        <f t="shared" si="24"/>
        <v>0.11598154213944774</v>
      </c>
      <c r="BS14" s="499">
        <f t="shared" si="25"/>
        <v>0.11598154213944774</v>
      </c>
      <c r="BT14" s="499">
        <f t="shared" si="26"/>
        <v>0.11598154213944774</v>
      </c>
      <c r="BU14" s="499">
        <f t="shared" si="52"/>
        <v>0.34794462641834323</v>
      </c>
      <c r="BV14" s="597"/>
      <c r="BW14" s="591">
        <f t="shared" si="27"/>
        <v>0.10697148204724473</v>
      </c>
      <c r="BX14" s="499">
        <f t="shared" si="28"/>
        <v>0.10697148204724473</v>
      </c>
      <c r="BY14" s="499">
        <f t="shared" si="29"/>
        <v>0.10697148204724473</v>
      </c>
      <c r="BZ14" s="499">
        <f t="shared" si="53"/>
        <v>0.3209144461417342</v>
      </c>
      <c r="CA14" s="597"/>
      <c r="CB14" s="591">
        <f t="shared" si="30"/>
        <v>9.7954943391938859E-2</v>
      </c>
      <c r="CC14" s="499">
        <f t="shared" si="31"/>
        <v>9.7954943391938859E-2</v>
      </c>
      <c r="CD14" s="499">
        <f t="shared" si="32"/>
        <v>9.7954943391938859E-2</v>
      </c>
      <c r="CE14" s="499">
        <f t="shared" si="54"/>
        <v>0.29386483017581655</v>
      </c>
      <c r="CF14" s="597"/>
      <c r="CG14" s="591">
        <f t="shared" si="33"/>
        <v>8.892625207760893E-2</v>
      </c>
      <c r="CH14" s="499">
        <f t="shared" si="34"/>
        <v>8.892625207760893E-2</v>
      </c>
      <c r="CI14" s="499">
        <f t="shared" si="35"/>
        <v>8.892625207760893E-2</v>
      </c>
      <c r="CJ14" s="499">
        <f t="shared" si="55"/>
        <v>0.26677875623282676</v>
      </c>
      <c r="CK14" s="166"/>
      <c r="CL14" s="153"/>
      <c r="CM14" s="153"/>
      <c r="CN14" s="153"/>
      <c r="CO14" s="153"/>
      <c r="CP14" s="153"/>
      <c r="CQ14" s="153"/>
      <c r="CR14" s="153"/>
      <c r="CS14" s="153"/>
      <c r="CT14" s="153"/>
      <c r="CU14" s="153"/>
      <c r="CV14" s="153"/>
      <c r="CW14" s="153"/>
      <c r="CX14" s="153"/>
      <c r="CY14" s="153"/>
      <c r="CZ14" s="153"/>
      <c r="DA14" s="153"/>
      <c r="DB14" s="153"/>
      <c r="DC14" s="153"/>
      <c r="DD14" s="153"/>
      <c r="DE14" s="153"/>
      <c r="DF14" s="153"/>
      <c r="DG14" s="153"/>
      <c r="DH14" s="153"/>
      <c r="DI14" s="153"/>
      <c r="DJ14" s="153"/>
      <c r="DK14" s="153"/>
      <c r="DL14" s="153"/>
      <c r="DM14" s="153"/>
      <c r="DN14" s="153"/>
      <c r="DO14" s="153"/>
      <c r="DP14" s="153"/>
      <c r="DQ14" s="153"/>
      <c r="DR14" s="153"/>
      <c r="DS14" s="153"/>
      <c r="DT14" s="153"/>
      <c r="DU14" s="153"/>
      <c r="DV14" s="153"/>
      <c r="DW14" s="153"/>
      <c r="DX14" s="153"/>
      <c r="DY14" s="153"/>
      <c r="DZ14" s="153"/>
      <c r="EA14" s="153"/>
      <c r="EB14" s="153"/>
      <c r="EC14" s="153"/>
      <c r="ED14" s="153"/>
      <c r="EE14" s="153"/>
      <c r="EF14" s="153"/>
      <c r="EG14" s="153"/>
      <c r="EH14" s="153"/>
      <c r="EI14" s="153"/>
      <c r="EJ14" s="153"/>
      <c r="EK14" s="153"/>
      <c r="EL14" s="153"/>
      <c r="EM14" s="153"/>
      <c r="EN14" s="153"/>
      <c r="EO14" s="153"/>
      <c r="EP14" s="153"/>
      <c r="EQ14" s="153"/>
      <c r="ER14" s="153"/>
      <c r="ES14" s="153"/>
      <c r="ET14" s="153"/>
      <c r="EU14" s="153"/>
      <c r="EV14" s="153"/>
      <c r="EW14" s="153"/>
      <c r="EX14" s="153"/>
      <c r="EY14" s="153"/>
      <c r="EZ14" s="153"/>
      <c r="FA14" s="153"/>
      <c r="FB14" s="153"/>
      <c r="FC14" s="153"/>
      <c r="FD14" s="153"/>
      <c r="FE14" s="153"/>
      <c r="FF14" s="153"/>
      <c r="FG14" s="153"/>
      <c r="FH14" s="153"/>
      <c r="FI14" s="153"/>
      <c r="FJ14" s="153"/>
      <c r="FK14" s="153"/>
      <c r="FL14" s="153"/>
      <c r="FM14" s="153"/>
      <c r="FN14" s="153"/>
      <c r="FO14" s="153"/>
      <c r="FP14" s="153"/>
      <c r="FQ14" s="153"/>
      <c r="FR14" s="153"/>
      <c r="FS14" s="153"/>
      <c r="FT14" s="153"/>
      <c r="FU14" s="153"/>
      <c r="FV14" s="153"/>
      <c r="FW14" s="153"/>
    </row>
    <row r="15" spans="1:179" s="144" customFormat="1" ht="9.75" customHeight="1" x14ac:dyDescent="0.15">
      <c r="A15" s="472" t="s">
        <v>141</v>
      </c>
      <c r="B15" s="167">
        <v>0.15</v>
      </c>
      <c r="C15" s="285">
        <v>-1.2E-2</v>
      </c>
      <c r="D15" s="626"/>
      <c r="E15" s="624"/>
      <c r="F15" s="622">
        <v>0.8</v>
      </c>
      <c r="G15" s="623">
        <v>0.5</v>
      </c>
      <c r="H15" s="502">
        <f>SUM(IF(     IF(ISBLANK(D15),B15,D15)   &gt;   0,   (     IF(ISBLANK(D15),B15,D15)   ),0))</f>
        <v>0.15</v>
      </c>
      <c r="I15" s="502">
        <f>SUM(IF(     IF(ISBLANK(D15),B15,D15)     +   (1* (IF(ISBLANK(E15),C15,E15))) &gt;   0,   (     IF(ISBLANK(D15),B15,D15)    +  (1* (IF(ISBLANK(E15),C15,E15)) )  ),0))</f>
        <v>0.13799999999999998</v>
      </c>
      <c r="J15" s="500">
        <f>SUM(((1+F15)*(1+F15)*(1+F15)*(1+G15)*(1+G15)*(1+G15)*(1+H15)*(1+H15)*(1+H15)*(1+I15)*(1+I15)*(1+I15))-1)</f>
        <v>43.117571652767531</v>
      </c>
      <c r="K15" s="502">
        <f>SUM(IF(     IF(ISBLANK(D15),B15,D15)    +   (2* (IF(ISBLANK(E15),C15,E15))) &gt;   0,   (     IF(ISBLANK(D15),B15,D15)    +  (2* (IF(ISBLANK(E15),C15,E15)) )  ),0))</f>
        <v>0.126</v>
      </c>
      <c r="L15" s="502">
        <f>SUM(IF(     IF(ISBLANK(D15),B15,D15)    +   (3* (IF(ISBLANK(E15),C15,E15))) &gt;   0,   (     IF(ISBLANK(D15),B15,D15)    +  (3* (IF(ISBLANK(E15),C15,E15)) )  ),0))</f>
        <v>0.11399999999999999</v>
      </c>
      <c r="M15" s="502">
        <f>SUM(IF(     IF(ISBLANK(D15),B15,D15)     +   (4* (IF(ISBLANK(E15),C15,E15))) &gt;   0,   (     IF(ISBLANK(D15),B15,D15)   +  (4* (IF(ISBLANK(E15),C15,E15)) )  ),0))</f>
        <v>0.10199999999999999</v>
      </c>
      <c r="N15" s="502">
        <f>SUM(IF(     IF(ISBLANK(D15),B15,D15)     +  (5* (IF(ISBLANK(E15),C15,E15))) &gt;   0,   (     IF(ISBLANK(D15),B15,D15)   +  (5* (IF(ISBLANK(E15),C15,E15)) )  ),0))</f>
        <v>0.09</v>
      </c>
      <c r="O15" s="500">
        <f t="shared" si="63"/>
        <v>2.420542740660216</v>
      </c>
      <c r="P15" s="502">
        <f>SUM(IF(     IF(ISBLANK(D15),B15,D15)     +   (6* (IF(ISBLANK(E15),C15,E15))) &gt;   0,   (     IF(ISBLANK(D15),B15,D15)    +  (6* (IF(ISBLANK(E15),C15,E15)) )  ),0))</f>
        <v>7.7999999999999986E-2</v>
      </c>
      <c r="Q15" s="502">
        <f>SUM(IF(     IF(ISBLANK(D15),B15,D15)     +   (7* (IF(ISBLANK(E15),C15,E15))) &gt;   0,   (     IF(ISBLANK(D15),B15,D15)    +  (7* (IF(ISBLANK(E15),C15,E15)) )  ),0))</f>
        <v>6.5999999999999989E-2</v>
      </c>
      <c r="R15" s="502">
        <f>SUM(IF(     IF(ISBLANK(D15),B15,D15)     +   (8* (IF(ISBLANK(E15),C15,E15))) &gt;   0,   (     IF(ISBLANK(D15),B15,D15)    +  (8* (IF(ISBLANK(E15),C15,E15)) )  ),0))</f>
        <v>5.3999999999999992E-2</v>
      </c>
      <c r="S15" s="502">
        <f>SUM(IF(     IF(ISBLANK(D15),B15,D15)     +   (9* (IF(ISBLANK(E15),C15,E15))) &gt;   0,   (     IF(ISBLANK(D15),B15,D15)   +  (9* (IF(ISBLANK(E15),C15,E15)) )  ),0))</f>
        <v>4.1999999999999996E-2</v>
      </c>
      <c r="T15" s="503">
        <f t="shared" si="68"/>
        <v>1.0102630316814332</v>
      </c>
      <c r="U15" s="538"/>
      <c r="V15" s="642">
        <v>0.2</v>
      </c>
      <c r="W15" s="506">
        <v>0.2</v>
      </c>
      <c r="X15" s="643">
        <v>0.2</v>
      </c>
      <c r="Y15" s="538"/>
      <c r="Z15" s="574">
        <v>0.7</v>
      </c>
      <c r="AA15" s="612"/>
      <c r="AB15" s="592">
        <f t="shared" si="0"/>
        <v>0.8</v>
      </c>
      <c r="AC15" s="502">
        <f t="shared" si="1"/>
        <v>0.8</v>
      </c>
      <c r="AD15" s="502">
        <f t="shared" si="2"/>
        <v>0.8</v>
      </c>
      <c r="AE15" s="502">
        <f t="shared" si="36"/>
        <v>2.4000000000000004</v>
      </c>
      <c r="AF15" s="598"/>
      <c r="AG15" s="592">
        <f t="shared" si="3"/>
        <v>0.5</v>
      </c>
      <c r="AH15" s="502">
        <f t="shared" si="4"/>
        <v>0.5</v>
      </c>
      <c r="AI15" s="502">
        <f t="shared" si="5"/>
        <v>0.5</v>
      </c>
      <c r="AJ15" s="502">
        <f t="shared" si="37"/>
        <v>1.5</v>
      </c>
      <c r="AK15" s="598"/>
      <c r="AL15" s="592">
        <f t="shared" si="6"/>
        <v>0.15</v>
      </c>
      <c r="AM15" s="502">
        <f t="shared" si="7"/>
        <v>0.15</v>
      </c>
      <c r="AN15" s="502">
        <f t="shared" si="8"/>
        <v>0.15</v>
      </c>
      <c r="AO15" s="502">
        <f t="shared" si="38"/>
        <v>0.44999999999999996</v>
      </c>
      <c r="AP15" s="598"/>
      <c r="AQ15" s="592">
        <f t="shared" si="9"/>
        <v>0.13799999999999998</v>
      </c>
      <c r="AR15" s="502">
        <f t="shared" si="10"/>
        <v>0.13799999999999998</v>
      </c>
      <c r="AS15" s="502">
        <f t="shared" si="11"/>
        <v>0.13799999999999998</v>
      </c>
      <c r="AT15" s="502">
        <f t="shared" si="39"/>
        <v>0.41399999999999992</v>
      </c>
      <c r="AU15" s="598"/>
      <c r="AV15" s="612"/>
      <c r="AW15" s="592">
        <f t="shared" si="12"/>
        <v>0.126</v>
      </c>
      <c r="AX15" s="502">
        <f t="shared" si="13"/>
        <v>0.126</v>
      </c>
      <c r="AY15" s="502">
        <f t="shared" si="14"/>
        <v>0.126</v>
      </c>
      <c r="AZ15" s="502">
        <f t="shared" si="40"/>
        <v>0.378</v>
      </c>
      <c r="BA15" s="598"/>
      <c r="BB15" s="592">
        <f t="shared" si="15"/>
        <v>0.11399999999999999</v>
      </c>
      <c r="BC15" s="502">
        <f t="shared" si="16"/>
        <v>0.11399999999999999</v>
      </c>
      <c r="BD15" s="502">
        <f t="shared" si="17"/>
        <v>0.11399999999999999</v>
      </c>
      <c r="BE15" s="502">
        <f t="shared" si="41"/>
        <v>0.34199999999999997</v>
      </c>
      <c r="BF15" s="598"/>
      <c r="BG15" s="592">
        <f t="shared" si="18"/>
        <v>0.10199999999999999</v>
      </c>
      <c r="BH15" s="502">
        <f t="shared" si="19"/>
        <v>0.10199999999999999</v>
      </c>
      <c r="BI15" s="502">
        <f t="shared" si="20"/>
        <v>0.10199999999999999</v>
      </c>
      <c r="BJ15" s="502">
        <f t="shared" si="42"/>
        <v>0.30599999999999999</v>
      </c>
      <c r="BK15" s="598"/>
      <c r="BL15" s="592">
        <f t="shared" si="21"/>
        <v>0.09</v>
      </c>
      <c r="BM15" s="502">
        <f t="shared" si="22"/>
        <v>0.09</v>
      </c>
      <c r="BN15" s="502">
        <f t="shared" si="23"/>
        <v>0.09</v>
      </c>
      <c r="BO15" s="502">
        <f t="shared" si="51"/>
        <v>0.27</v>
      </c>
      <c r="BP15" s="598"/>
      <c r="BQ15" s="538"/>
      <c r="BR15" s="592">
        <f t="shared" si="24"/>
        <v>7.7999999999999986E-2</v>
      </c>
      <c r="BS15" s="502">
        <f t="shared" si="25"/>
        <v>7.7999999999999986E-2</v>
      </c>
      <c r="BT15" s="502">
        <f t="shared" si="26"/>
        <v>7.7999999999999986E-2</v>
      </c>
      <c r="BU15" s="502">
        <f t="shared" si="52"/>
        <v>0.23399999999999996</v>
      </c>
      <c r="BV15" s="598"/>
      <c r="BW15" s="592">
        <f t="shared" si="27"/>
        <v>6.5999999999999989E-2</v>
      </c>
      <c r="BX15" s="502">
        <f t="shared" si="28"/>
        <v>6.5999999999999989E-2</v>
      </c>
      <c r="BY15" s="502">
        <f t="shared" si="29"/>
        <v>6.5999999999999989E-2</v>
      </c>
      <c r="BZ15" s="502">
        <f t="shared" si="53"/>
        <v>0.19799999999999995</v>
      </c>
      <c r="CA15" s="598"/>
      <c r="CB15" s="592">
        <f t="shared" si="30"/>
        <v>5.3999999999999992E-2</v>
      </c>
      <c r="CC15" s="502">
        <f t="shared" si="31"/>
        <v>5.3999999999999992E-2</v>
      </c>
      <c r="CD15" s="502">
        <f t="shared" si="32"/>
        <v>5.3999999999999992E-2</v>
      </c>
      <c r="CE15" s="502">
        <f t="shared" si="54"/>
        <v>0.16199999999999998</v>
      </c>
      <c r="CF15" s="598"/>
      <c r="CG15" s="592">
        <f t="shared" si="33"/>
        <v>4.1999999999999996E-2</v>
      </c>
      <c r="CH15" s="502">
        <f t="shared" si="34"/>
        <v>4.1999999999999996E-2</v>
      </c>
      <c r="CI15" s="502">
        <f t="shared" si="35"/>
        <v>4.1999999999999996E-2</v>
      </c>
      <c r="CJ15" s="502">
        <f t="shared" si="55"/>
        <v>0.126</v>
      </c>
      <c r="CK15" s="168"/>
      <c r="CL15" s="153"/>
      <c r="CM15" s="153"/>
      <c r="CN15" s="153"/>
      <c r="CO15" s="153"/>
      <c r="CP15" s="153"/>
      <c r="CQ15" s="153"/>
      <c r="CR15" s="153"/>
      <c r="CS15" s="153"/>
      <c r="CT15" s="153"/>
      <c r="CU15" s="153"/>
      <c r="CV15" s="153"/>
      <c r="CW15" s="153"/>
      <c r="CX15" s="153"/>
      <c r="CY15" s="153"/>
      <c r="CZ15" s="153"/>
      <c r="DA15" s="153"/>
      <c r="DB15" s="153"/>
      <c r="DC15" s="153"/>
      <c r="DD15" s="153"/>
      <c r="DE15" s="153"/>
      <c r="DF15" s="153"/>
      <c r="DG15" s="153"/>
      <c r="DH15" s="153"/>
      <c r="DI15" s="153"/>
      <c r="DJ15" s="153"/>
      <c r="DK15" s="153"/>
      <c r="DL15" s="153"/>
      <c r="DM15" s="153"/>
      <c r="DN15" s="153"/>
      <c r="DO15" s="153"/>
      <c r="DP15" s="153"/>
      <c r="DQ15" s="153"/>
      <c r="DR15" s="153"/>
      <c r="DS15" s="153"/>
      <c r="DT15" s="153"/>
      <c r="DU15" s="153"/>
      <c r="DV15" s="153"/>
      <c r="DW15" s="153"/>
      <c r="DX15" s="153"/>
      <c r="DY15" s="153"/>
      <c r="DZ15" s="153"/>
      <c r="EA15" s="153"/>
      <c r="EB15" s="153"/>
      <c r="EC15" s="153"/>
      <c r="ED15" s="153"/>
      <c r="EE15" s="153"/>
      <c r="EF15" s="153"/>
      <c r="EG15" s="153"/>
      <c r="EH15" s="153"/>
      <c r="EI15" s="153"/>
      <c r="EJ15" s="153"/>
      <c r="EK15" s="153"/>
      <c r="EL15" s="153"/>
      <c r="EM15" s="153"/>
      <c r="EN15" s="153"/>
      <c r="EO15" s="153"/>
      <c r="EP15" s="153"/>
      <c r="EQ15" s="153"/>
      <c r="ER15" s="153"/>
      <c r="ES15" s="153"/>
      <c r="ET15" s="153"/>
      <c r="EU15" s="153"/>
      <c r="EV15" s="153"/>
      <c r="EW15" s="153"/>
      <c r="EX15" s="153"/>
      <c r="EY15" s="153"/>
      <c r="EZ15" s="153"/>
      <c r="FA15" s="153"/>
      <c r="FB15" s="153"/>
      <c r="FC15" s="153"/>
      <c r="FD15" s="153"/>
      <c r="FE15" s="153"/>
      <c r="FF15" s="153"/>
      <c r="FG15" s="153"/>
      <c r="FH15" s="153"/>
      <c r="FI15" s="153"/>
      <c r="FJ15" s="153"/>
      <c r="FK15" s="153"/>
      <c r="FL15" s="153"/>
      <c r="FM15" s="153"/>
      <c r="FN15" s="153"/>
      <c r="FO15" s="153"/>
      <c r="FP15" s="153"/>
      <c r="FQ15" s="153"/>
      <c r="FR15" s="153"/>
      <c r="FS15" s="153"/>
      <c r="FT15" s="153"/>
      <c r="FU15" s="153"/>
      <c r="FV15" s="153"/>
      <c r="FW15" s="153"/>
    </row>
    <row r="16" spans="1:179" s="175" customFormat="1" ht="9.75" customHeight="1" x14ac:dyDescent="0.15">
      <c r="A16" s="473" t="s">
        <v>142</v>
      </c>
      <c r="B16" s="169"/>
      <c r="C16" s="170"/>
      <c r="D16" s="628"/>
      <c r="E16" s="629"/>
      <c r="F16" s="504">
        <f>SUM((F18/Z18)-1)/3</f>
        <v>0.14338090529920011</v>
      </c>
      <c r="G16" s="504">
        <f>SUM((G18/F18)-1)/3</f>
        <v>0.4620828779306933</v>
      </c>
      <c r="H16" s="504">
        <f>SUM((H18/G18)-1)/3</f>
        <v>1.7697849711710762</v>
      </c>
      <c r="I16" s="504">
        <f>SUM((I18/H18)-1)/3</f>
        <v>0.38299697378820613</v>
      </c>
      <c r="J16" s="505" t="s">
        <v>38</v>
      </c>
      <c r="K16" s="502">
        <f>SUM((K18/I18)-1)/3</f>
        <v>0.2358519215415309</v>
      </c>
      <c r="L16" s="502">
        <f>SUM((L18/K18)-1)/3</f>
        <v>0.19176830347074367</v>
      </c>
      <c r="M16" s="502">
        <f>SUM((M18/L18)-1)/3</f>
        <v>0.19000131896042269</v>
      </c>
      <c r="N16" s="502">
        <f>SUM((N18/M18)-1)/3</f>
        <v>0.20951340534582052</v>
      </c>
      <c r="O16" s="506">
        <f>SUM(O18/J18)-1</f>
        <v>5.8776291911879257</v>
      </c>
      <c r="P16" s="502">
        <f>SUM((P18/N18)-1)/3</f>
        <v>0.22499535223740783</v>
      </c>
      <c r="Q16" s="502">
        <f>SUM((Q18/P18)-1)/3</f>
        <v>0.24167825374219509</v>
      </c>
      <c r="R16" s="502">
        <f>SUM((R18/Q18)-1)/3</f>
        <v>0.26743372362546242</v>
      </c>
      <c r="S16" s="502">
        <f>SUM((S18/R18)-1)/3</f>
        <v>0.28697305316287736</v>
      </c>
      <c r="T16" s="507">
        <f>SUM(T18/O18)-1</f>
        <v>8.6908956959286225</v>
      </c>
      <c r="U16" s="538"/>
      <c r="V16" s="642">
        <f>SUM(V18/T18)-1</f>
        <v>1.7960930484715276</v>
      </c>
      <c r="W16" s="506">
        <f>SUM(W18/V18)-1</f>
        <v>1.0616696389577345</v>
      </c>
      <c r="X16" s="643">
        <f>SUM(X18/W18)-1</f>
        <v>0.73120405051782389</v>
      </c>
      <c r="Y16" s="173"/>
      <c r="Z16" s="574">
        <v>0</v>
      </c>
      <c r="AA16" s="613"/>
      <c r="AB16" s="592">
        <f>SUM((AB18/Z18)-1)</f>
        <v>0.34299033333333329</v>
      </c>
      <c r="AC16" s="502">
        <f t="shared" ref="AC16:AD16" si="69">SUM((AC18/AB18)-1)</f>
        <v>5.3631764310788199E-2</v>
      </c>
      <c r="AD16" s="502">
        <f t="shared" si="69"/>
        <v>1.0689227481044838E-2</v>
      </c>
      <c r="AE16" s="502">
        <f t="shared" si="36"/>
        <v>0.40731132512516632</v>
      </c>
      <c r="AF16" s="599"/>
      <c r="AG16" s="592">
        <f>SUM((AG18/AD18)-1)</f>
        <v>0.69164258472438633</v>
      </c>
      <c r="AH16" s="502">
        <f>SUM((AH18/AG18)-1)</f>
        <v>0.2534712693374388</v>
      </c>
      <c r="AI16" s="502">
        <f>SUM((AI18/AH18)-1)</f>
        <v>0.12536317411491193</v>
      </c>
      <c r="AJ16" s="502">
        <f t="shared" si="37"/>
        <v>1.0704770281767371</v>
      </c>
      <c r="AK16" s="599"/>
      <c r="AL16" s="592">
        <f>SUM((AL18/AI18)-1)</f>
        <v>1.57383960400497</v>
      </c>
      <c r="AM16" s="502">
        <f>SUM((AM18/AL18)-1)</f>
        <v>0.68468342096929269</v>
      </c>
      <c r="AN16" s="502">
        <f>SUM((AN18/AM18)-1)</f>
        <v>0.45507432264152525</v>
      </c>
      <c r="AO16" s="502">
        <f t="shared" si="38"/>
        <v>2.7135973476157882</v>
      </c>
      <c r="AP16" s="599"/>
      <c r="AQ16" s="592">
        <f>SUM((AQ18/AN18)-1)</f>
        <v>0.3510063972845312</v>
      </c>
      <c r="AR16" s="502">
        <f>SUM((AR18/AQ18)-1)</f>
        <v>0.28281140687844997</v>
      </c>
      <c r="AS16" s="502">
        <f>SUM((AS18/AR18)-1)</f>
        <v>0.23997909165639819</v>
      </c>
      <c r="AT16" s="502">
        <f t="shared" si="39"/>
        <v>0.87379689581937936</v>
      </c>
      <c r="AU16" s="599"/>
      <c r="AV16" s="613"/>
      <c r="AW16" s="592">
        <f>SUM((AW18/AS18)-1)</f>
        <v>0.22225114606176022</v>
      </c>
      <c r="AX16" s="502">
        <f>SUM((AX18/AW18)-1)</f>
        <v>0.19274701372148018</v>
      </c>
      <c r="AY16" s="502">
        <f>SUM((AY18/AX18)-1)</f>
        <v>0.17129450147759284</v>
      </c>
      <c r="AZ16" s="502">
        <f t="shared" si="40"/>
        <v>0.58629266126083324</v>
      </c>
      <c r="BA16" s="599"/>
      <c r="BB16" s="592">
        <f>SUM((BB18/AY18)-1)</f>
        <v>0.18521139240591133</v>
      </c>
      <c r="BC16" s="502">
        <f>SUM((BC18/BB18)-1)</f>
        <v>0.16173714001573525</v>
      </c>
      <c r="BD16" s="502">
        <f>SUM((BD18/BC18)-1)</f>
        <v>0.14409196547961733</v>
      </c>
      <c r="BE16" s="502">
        <f t="shared" si="41"/>
        <v>0.49104049790126392</v>
      </c>
      <c r="BF16" s="599"/>
      <c r="BG16" s="592">
        <f>SUM((BG18/BD18)-1)</f>
        <v>0.18405044960825645</v>
      </c>
      <c r="BH16" s="502">
        <f>SUM((BH18/BG18)-1)</f>
        <v>0.1604142198577676</v>
      </c>
      <c r="BI16" s="502">
        <f>SUM((BI18/BH18)-1)</f>
        <v>0.14266124485551734</v>
      </c>
      <c r="BJ16" s="502">
        <f t="shared" si="42"/>
        <v>0.4871259143215414</v>
      </c>
      <c r="BK16" s="599"/>
      <c r="BL16" s="592">
        <f>SUM((BL18/BI18)-1)</f>
        <v>0.20235102195022781</v>
      </c>
      <c r="BM16" s="502">
        <f>SUM((BM18/BL18)-1)</f>
        <v>0.17418443741528922</v>
      </c>
      <c r="BN16" s="502">
        <f>SUM((BN18/BM18)-1)</f>
        <v>0.15353530467982601</v>
      </c>
      <c r="BO16" s="502">
        <f>SUM(BL16:BN16)</f>
        <v>0.53007076404534303</v>
      </c>
      <c r="BP16" s="599"/>
      <c r="BQ16" s="173"/>
      <c r="BR16" s="592">
        <f>SUM((BR18/BN18)-1)</f>
        <v>0.21666200962777538</v>
      </c>
      <c r="BS16" s="502">
        <f>SUM((BS18/BR18)-1)</f>
        <v>0.18484276249019493</v>
      </c>
      <c r="BT16" s="502">
        <f>SUM((BT18/BS18)-1)</f>
        <v>0.16193150832912795</v>
      </c>
      <c r="BU16" s="502">
        <f>SUM(BR16:BT16)</f>
        <v>0.56343628044709826</v>
      </c>
      <c r="BV16" s="599"/>
      <c r="BW16" s="592">
        <f>SUM((BW18/BT18)-1)</f>
        <v>0.23204133660098214</v>
      </c>
      <c r="BX16" s="502">
        <f>SUM((BX18/BW18)-1)</f>
        <v>0.19605544625973659</v>
      </c>
      <c r="BY16" s="502">
        <f>SUM((BY18/BX18)-1)</f>
        <v>0.17063433730823219</v>
      </c>
      <c r="BZ16" s="502">
        <f>SUM(BW16:BY16)</f>
        <v>0.59873112016895091</v>
      </c>
      <c r="CA16" s="599"/>
      <c r="CB16" s="592">
        <f>SUM((CB18/BY18)-1)</f>
        <v>0.25601569114688116</v>
      </c>
      <c r="CC16" s="502">
        <f>SUM((CC18/CB18)-1)</f>
        <v>0.21279100909531201</v>
      </c>
      <c r="CD16" s="502">
        <f>SUM((CD18/CC18)-1)</f>
        <v>0.18316777102439086</v>
      </c>
      <c r="CE16" s="502">
        <f t="shared" si="54"/>
        <v>0.65197447126658403</v>
      </c>
      <c r="CF16" s="599"/>
      <c r="CG16" s="592">
        <f>SUM((CG18/CD18)-1)</f>
        <v>0.27391804348423432</v>
      </c>
      <c r="CH16" s="502">
        <f>SUM((CH18/CG18)-1)</f>
        <v>0.22511023539398534</v>
      </c>
      <c r="CI16" s="502">
        <f>SUM((CI18/CH18)-1)</f>
        <v>0.19236947683286854</v>
      </c>
      <c r="CJ16" s="502">
        <f t="shared" si="55"/>
        <v>0.69139775571108819</v>
      </c>
      <c r="CK16" s="152"/>
      <c r="CL16" s="174"/>
      <c r="CM16" s="174"/>
      <c r="CN16" s="174"/>
      <c r="CO16" s="174"/>
      <c r="CP16" s="174"/>
      <c r="CQ16" s="174"/>
      <c r="CR16" s="174"/>
      <c r="CS16" s="174"/>
      <c r="CT16" s="174"/>
      <c r="CU16" s="174"/>
      <c r="CV16" s="174"/>
      <c r="CW16" s="174"/>
      <c r="CX16" s="174"/>
      <c r="CY16" s="174"/>
      <c r="CZ16" s="174"/>
      <c r="DA16" s="174"/>
      <c r="DB16" s="174"/>
      <c r="DC16" s="174"/>
      <c r="DD16" s="174"/>
      <c r="DE16" s="174"/>
      <c r="DF16" s="174"/>
      <c r="DG16" s="174"/>
      <c r="DH16" s="174"/>
      <c r="DI16" s="174"/>
      <c r="DJ16" s="174"/>
      <c r="DK16" s="174"/>
      <c r="DL16" s="174"/>
      <c r="DM16" s="174"/>
      <c r="DN16" s="174"/>
      <c r="DO16" s="174"/>
      <c r="DP16" s="174"/>
      <c r="DQ16" s="174"/>
      <c r="DR16" s="174"/>
      <c r="DS16" s="174"/>
      <c r="DT16" s="174"/>
      <c r="DU16" s="174"/>
      <c r="DV16" s="174"/>
      <c r="DW16" s="174"/>
      <c r="DX16" s="174"/>
      <c r="DY16" s="174"/>
      <c r="DZ16" s="174"/>
      <c r="EA16" s="174"/>
      <c r="EB16" s="174"/>
      <c r="EC16" s="174"/>
      <c r="ED16" s="174"/>
      <c r="EE16" s="174"/>
      <c r="EF16" s="174"/>
      <c r="EG16" s="174"/>
      <c r="EH16" s="174"/>
      <c r="EI16" s="174"/>
      <c r="EJ16" s="174"/>
      <c r="EK16" s="174"/>
      <c r="EL16" s="174"/>
      <c r="EM16" s="174"/>
      <c r="EN16" s="174"/>
      <c r="EO16" s="174"/>
      <c r="EP16" s="174"/>
      <c r="EQ16" s="174"/>
      <c r="ER16" s="174"/>
      <c r="ES16" s="174"/>
      <c r="ET16" s="174"/>
      <c r="EU16" s="174"/>
      <c r="EV16" s="174"/>
      <c r="EW16" s="174"/>
      <c r="EX16" s="174"/>
      <c r="EY16" s="174"/>
      <c r="EZ16" s="174"/>
      <c r="FA16" s="174"/>
      <c r="FB16" s="174"/>
      <c r="FC16" s="174"/>
      <c r="FD16" s="174"/>
      <c r="FE16" s="174"/>
      <c r="FF16" s="174"/>
      <c r="FG16" s="174"/>
      <c r="FH16" s="174"/>
      <c r="FI16" s="174"/>
      <c r="FJ16" s="174"/>
      <c r="FK16" s="174"/>
      <c r="FL16" s="174"/>
      <c r="FM16" s="174"/>
      <c r="FN16" s="174"/>
      <c r="FO16" s="174"/>
      <c r="FP16" s="174"/>
      <c r="FQ16" s="174"/>
      <c r="FR16" s="174"/>
      <c r="FS16" s="174"/>
      <c r="FT16" s="174"/>
      <c r="FU16" s="174"/>
      <c r="FV16" s="174"/>
      <c r="FW16" s="174"/>
    </row>
    <row r="17" spans="1:179" s="175" customFormat="1" ht="9.75" customHeight="1" x14ac:dyDescent="0.15">
      <c r="A17" s="405" t="s">
        <v>143</v>
      </c>
      <c r="B17" s="176"/>
      <c r="C17" s="177"/>
      <c r="D17" s="634"/>
      <c r="E17" s="635"/>
      <c r="F17" s="423">
        <f>AE17</f>
        <v>645.21407384639997</v>
      </c>
      <c r="G17" s="424">
        <f>AJ17</f>
        <v>2973.800079061115</v>
      </c>
      <c r="H17" s="424">
        <f>AO17</f>
        <v>27178.662945083277</v>
      </c>
      <c r="I17" s="424">
        <f>AT17</f>
        <v>37109.737766757367</v>
      </c>
      <c r="J17" s="180">
        <f>SUM(J18-Z18)</f>
        <v>67907.414864748163</v>
      </c>
      <c r="K17" s="424">
        <f>AZ17</f>
        <v>49109.616495243201</v>
      </c>
      <c r="L17" s="424">
        <f>BE17</f>
        <v>68183.430108883418</v>
      </c>
      <c r="M17" s="424">
        <f>BJ17</f>
        <v>106420.00178881733</v>
      </c>
      <c r="N17" s="424">
        <f>BO17</f>
        <v>184237.9993009906</v>
      </c>
      <c r="O17" s="180">
        <f>SUM(O18-J18)</f>
        <v>407951.04769393452</v>
      </c>
      <c r="P17" s="424">
        <f>BU17</f>
        <v>322210.30628069479</v>
      </c>
      <c r="Q17" s="424">
        <f>BZ17</f>
        <v>579715.15139969287</v>
      </c>
      <c r="R17" s="424">
        <f>CE17</f>
        <v>1106601.1041787795</v>
      </c>
      <c r="S17" s="424">
        <f>CJ17</f>
        <v>2140146.045807193</v>
      </c>
      <c r="T17" s="181">
        <f>SUM(T18-O18)</f>
        <v>4148672.6076663607</v>
      </c>
      <c r="U17" s="184"/>
      <c r="V17" s="182">
        <f>SUM((V8+(T18*V14))-(T18*V15))</f>
        <v>8308782.2472445015</v>
      </c>
      <c r="W17" s="180">
        <f>SUM((W8+(V18*W14))-(V18*W15))</f>
        <v>13732498.584743585</v>
      </c>
      <c r="X17" s="183">
        <f>SUM((X8+(W18*X14))-(W18*X15))</f>
        <v>19499246.479320414</v>
      </c>
      <c r="Y17" s="184"/>
      <c r="Z17" s="575">
        <v>1500</v>
      </c>
      <c r="AA17" s="614"/>
      <c r="AB17" s="533">
        <f>SUM((AB8+(Z18*AB14))-(Z18*AB15))</f>
        <v>514.4855</v>
      </c>
      <c r="AC17" s="424">
        <f>SUM((AC8+(AB18*AC14))-(AB18*AC15))</f>
        <v>108.04041154349989</v>
      </c>
      <c r="AD17" s="424">
        <f>SUM((AD8+(AC18*AD14))-(AC18*AD15))</f>
        <v>22.688162302900082</v>
      </c>
      <c r="AE17" s="180">
        <f t="shared" si="36"/>
        <v>645.21407384639997</v>
      </c>
      <c r="AF17" s="183"/>
      <c r="AG17" s="533">
        <f>SUM((AG8+(AD18*AG14))-(AD18*AG15))</f>
        <v>1483.7214068222552</v>
      </c>
      <c r="AH17" s="424">
        <f>SUM((AH8+(AG18*AH14))-(AG18*AH15))</f>
        <v>919.83088262875231</v>
      </c>
      <c r="AI17" s="424">
        <f>SUM((AI8+(AH18*AI14))-(AH18*AI15))</f>
        <v>570.24778961010725</v>
      </c>
      <c r="AJ17" s="180">
        <f t="shared" si="37"/>
        <v>2973.800079061115</v>
      </c>
      <c r="AK17" s="183"/>
      <c r="AL17" s="533">
        <f>SUM((AL8+(AI18*AL14))-(AI18*AL15))</f>
        <v>8056.5072073078018</v>
      </c>
      <c r="AM17" s="424">
        <f>SUM((AM8+(AL18*AM14))-(AL18*AM15))</f>
        <v>9021.0610379662085</v>
      </c>
      <c r="AN17" s="424">
        <f>SUM((AN8+(AM18*AN14))-(AM18*AN15))</f>
        <v>10101.094699809264</v>
      </c>
      <c r="AO17" s="180">
        <f t="shared" si="38"/>
        <v>27178.662945083277</v>
      </c>
      <c r="AP17" s="183"/>
      <c r="AQ17" s="533">
        <f>SUM((AQ8+(AN18*AQ14))-(AN18*AQ15))</f>
        <v>11336.691278824856</v>
      </c>
      <c r="AR17" s="424">
        <f>SUM((AR8+(AQ18*AR14))-(AQ18*AR15))</f>
        <v>12340.297108899782</v>
      </c>
      <c r="AS17" s="424">
        <f>SUM((AS8+(AR18*AS14))-(AR18*AS15))</f>
        <v>13432.749379032728</v>
      </c>
      <c r="AT17" s="180">
        <f t="shared" si="39"/>
        <v>37109.737766757367</v>
      </c>
      <c r="AU17" s="183"/>
      <c r="AV17" s="614"/>
      <c r="AW17" s="533">
        <f>SUM((AW8+(AS18*AW14))-(AS18*AW15))</f>
        <v>15425.877498874343</v>
      </c>
      <c r="AX17" s="424">
        <f>SUM((AX8+(AW18*AX14))-(AW18*AX15))</f>
        <v>16351.363767249493</v>
      </c>
      <c r="AY17" s="424">
        <f>SUM((AY8+(AX18*AY14))-(AX18*AY15))</f>
        <v>17332.375229119367</v>
      </c>
      <c r="AZ17" s="180">
        <f t="shared" si="40"/>
        <v>49109.616495243201</v>
      </c>
      <c r="BA17" s="183"/>
      <c r="BB17" s="533">
        <f>SUM((BB8+(AY18*BB14))-(AY18*BB15))</f>
        <v>21950.704401999061</v>
      </c>
      <c r="BC17" s="424">
        <f>SUM((BC8+(BB18*BC14))-(BB18*BC15))</f>
        <v>22718.849846630368</v>
      </c>
      <c r="BD17" s="424">
        <f>SUM((BD8+(BC18*BD14))-(BC18*BD15))</f>
        <v>23513.875860253989</v>
      </c>
      <c r="BE17" s="180">
        <f t="shared" si="41"/>
        <v>68183.430108883418</v>
      </c>
      <c r="BF17" s="183"/>
      <c r="BG17" s="533">
        <f>SUM((BG8+(BD18*BG14))-(BD18*BG15))</f>
        <v>34362.303875415339</v>
      </c>
      <c r="BH17" s="424">
        <f>SUM((BH8+(BG18*BH14))-(BG18*BH15))</f>
        <v>35461.611042305041</v>
      </c>
      <c r="BI17" s="424">
        <f>SUM((BI8+(BH18*BI14))-(BH18*BI15))</f>
        <v>36596.086871096952</v>
      </c>
      <c r="BJ17" s="180">
        <f t="shared" si="42"/>
        <v>106420.00178881733</v>
      </c>
      <c r="BK17" s="183"/>
      <c r="BL17" s="533">
        <f>SUM((BL8+(BI18*BL14))-(BI18*BL15))</f>
        <v>59313.225294718228</v>
      </c>
      <c r="BM17" s="424">
        <f>SUM((BM8+(BL18*BM14))-(BL18*BM15))</f>
        <v>61388.463766696863</v>
      </c>
      <c r="BN17" s="424">
        <f>SUM((BN8+(BM18*BN14))-(BM18*BN15))</f>
        <v>63536.310239575512</v>
      </c>
      <c r="BO17" s="180">
        <f>SUM(BL17:BN17)</f>
        <v>184237.9993009906</v>
      </c>
      <c r="BP17" s="183"/>
      <c r="BQ17" s="184"/>
      <c r="BR17" s="533">
        <f>SUM((BR8+(BN18*BR14))-(BN18*BR15))</f>
        <v>103425.44381078928</v>
      </c>
      <c r="BS17" s="424">
        <f>SUM((BS8+(BR18*BS14))-(BR18*BS15))</f>
        <v>107353.70166317988</v>
      </c>
      <c r="BT17" s="424">
        <f>SUM((BT8+(BS18*BT14))-(BS18*BT15))</f>
        <v>111431.16080672562</v>
      </c>
      <c r="BU17" s="180">
        <f>SUM(BR17:BT17)</f>
        <v>322210.30628069479</v>
      </c>
      <c r="BV17" s="183"/>
      <c r="BW17" s="533">
        <f>SUM((BW8+(BT18*BW14))-(BT18*BW15))</f>
        <v>185533.00582589081</v>
      </c>
      <c r="BX17" s="424">
        <f>SUM((BX8+(BW18*BX14))-(BW18*BX15))</f>
        <v>193134.56804325766</v>
      </c>
      <c r="BY17" s="424">
        <f>SUM((BY8+(BX18*BY14))-(BX18*BY15))</f>
        <v>201047.57753054437</v>
      </c>
      <c r="BZ17" s="180">
        <f>SUM(BW17:BY17)</f>
        <v>579715.15139969287</v>
      </c>
      <c r="CA17" s="183"/>
      <c r="CB17" s="533">
        <f>SUM((CB8+(BY18*CB14))-(BY18*CB15))</f>
        <v>353118.32612778537</v>
      </c>
      <c r="CC17" s="424">
        <f>SUM((CC8+(CB18*CC14))-(CB18*CC15))</f>
        <v>368639.62216338835</v>
      </c>
      <c r="CD17" s="424">
        <f>SUM((CD8+(CC18*CD14))-(CC18*CD15))</f>
        <v>384843.15588760586</v>
      </c>
      <c r="CE17" s="180">
        <f>SUM(CB17:CD17)</f>
        <v>1106601.1041787795</v>
      </c>
      <c r="CF17" s="183"/>
      <c r="CG17" s="533">
        <f>SUM((CG8+(CD18*CG14))-(CD18*CG15))</f>
        <v>680928.76221529604</v>
      </c>
      <c r="CH17" s="424">
        <f>SUM((CH8+(CG18*CH14))-(CG18*CH15))</f>
        <v>712882.19695790531</v>
      </c>
      <c r="CI17" s="424">
        <f>SUM((CI8+(CH18*CI14))-(CH18*CI15))</f>
        <v>746335.08663399168</v>
      </c>
      <c r="CJ17" s="180">
        <f>SUM(CG17:CI17)</f>
        <v>2140146.045807193</v>
      </c>
      <c r="CK17" s="183"/>
      <c r="CL17" s="174"/>
      <c r="CM17" s="174"/>
      <c r="CN17" s="174"/>
      <c r="CO17" s="174"/>
      <c r="CP17" s="174"/>
      <c r="CQ17" s="174"/>
      <c r="CR17" s="174"/>
      <c r="CS17" s="174"/>
      <c r="CT17" s="174"/>
      <c r="CU17" s="174"/>
      <c r="CV17" s="174"/>
      <c r="CW17" s="174"/>
      <c r="CX17" s="174"/>
      <c r="CY17" s="174"/>
      <c r="CZ17" s="174"/>
      <c r="DA17" s="174"/>
      <c r="DB17" s="174"/>
      <c r="DC17" s="174"/>
      <c r="DD17" s="174"/>
      <c r="DE17" s="174"/>
      <c r="DF17" s="174"/>
      <c r="DG17" s="174"/>
      <c r="DH17" s="174"/>
      <c r="DI17" s="174"/>
      <c r="DJ17" s="174"/>
      <c r="DK17" s="174"/>
      <c r="DL17" s="174"/>
      <c r="DM17" s="174"/>
      <c r="DN17" s="174"/>
      <c r="DO17" s="174"/>
      <c r="DP17" s="174"/>
      <c r="DQ17" s="174"/>
      <c r="DR17" s="174"/>
      <c r="DS17" s="174"/>
      <c r="DT17" s="174"/>
      <c r="DU17" s="174"/>
      <c r="DV17" s="174"/>
      <c r="DW17" s="174"/>
      <c r="DX17" s="174"/>
      <c r="DY17" s="174"/>
      <c r="DZ17" s="174"/>
      <c r="EA17" s="174"/>
      <c r="EB17" s="174"/>
      <c r="EC17" s="174"/>
      <c r="ED17" s="174"/>
      <c r="EE17" s="174"/>
      <c r="EF17" s="174"/>
      <c r="EG17" s="174"/>
      <c r="EH17" s="174"/>
      <c r="EI17" s="174"/>
      <c r="EJ17" s="174"/>
      <c r="EK17" s="174"/>
      <c r="EL17" s="174"/>
      <c r="EM17" s="174"/>
      <c r="EN17" s="174"/>
      <c r="EO17" s="174"/>
      <c r="EP17" s="174"/>
      <c r="EQ17" s="174"/>
      <c r="ER17" s="174"/>
      <c r="ES17" s="174"/>
      <c r="ET17" s="174"/>
      <c r="EU17" s="174"/>
      <c r="EV17" s="174"/>
      <c r="EW17" s="174"/>
      <c r="EX17" s="174"/>
      <c r="EY17" s="174"/>
      <c r="EZ17" s="174"/>
      <c r="FA17" s="174"/>
      <c r="FB17" s="174"/>
      <c r="FC17" s="174"/>
      <c r="FD17" s="174"/>
      <c r="FE17" s="174"/>
      <c r="FF17" s="174"/>
      <c r="FG17" s="174"/>
      <c r="FH17" s="174"/>
      <c r="FI17" s="174"/>
      <c r="FJ17" s="174"/>
      <c r="FK17" s="174"/>
      <c r="FL17" s="174"/>
      <c r="FM17" s="174"/>
      <c r="FN17" s="174"/>
      <c r="FO17" s="174"/>
      <c r="FP17" s="174"/>
      <c r="FQ17" s="174"/>
      <c r="FR17" s="174"/>
      <c r="FS17" s="174"/>
      <c r="FT17" s="174"/>
      <c r="FU17" s="174"/>
      <c r="FV17" s="174"/>
      <c r="FW17" s="174"/>
    </row>
    <row r="18" spans="1:179" s="57" customFormat="1" ht="9.75" customHeight="1" x14ac:dyDescent="0.15">
      <c r="A18" s="422" t="s">
        <v>217</v>
      </c>
      <c r="B18" s="185"/>
      <c r="C18" s="186"/>
      <c r="D18" s="636"/>
      <c r="E18" s="637"/>
      <c r="F18" s="423">
        <f>AE18</f>
        <v>2145.2140738464004</v>
      </c>
      <c r="G18" s="424">
        <f>AJ18</f>
        <v>5119.0141529075154</v>
      </c>
      <c r="H18" s="424">
        <f>AO18</f>
        <v>32297.677097990789</v>
      </c>
      <c r="I18" s="424">
        <f>AT18</f>
        <v>69407.414864748163</v>
      </c>
      <c r="J18" s="180">
        <f>AS18</f>
        <v>69407.414864748163</v>
      </c>
      <c r="K18" s="424">
        <f>AZ18</f>
        <v>118517.03135999136</v>
      </c>
      <c r="L18" s="424">
        <f>BE18</f>
        <v>186700.46146887477</v>
      </c>
      <c r="M18" s="424">
        <f>BJ18</f>
        <v>293120.46325769211</v>
      </c>
      <c r="N18" s="424">
        <f>BO18</f>
        <v>477358.46255868272</v>
      </c>
      <c r="O18" s="180">
        <f>BN18</f>
        <v>477358.46255868272</v>
      </c>
      <c r="P18" s="424">
        <f>BU18</f>
        <v>799568.76883937756</v>
      </c>
      <c r="Q18" s="424">
        <f>BZ18</f>
        <v>1379283.9202390704</v>
      </c>
      <c r="R18" s="424">
        <f>CE18</f>
        <v>2485885.0244178502</v>
      </c>
      <c r="S18" s="424">
        <f>CJ18</f>
        <v>4626031.0702250432</v>
      </c>
      <c r="T18" s="181">
        <f>CI18</f>
        <v>4626031.0702250432</v>
      </c>
      <c r="U18" s="184"/>
      <c r="V18" s="182">
        <f>SUM(T18+V17)</f>
        <v>12934813.317469545</v>
      </c>
      <c r="W18" s="180">
        <f>SUM(V18+W17)</f>
        <v>26667311.90221313</v>
      </c>
      <c r="X18" s="183">
        <f>SUM(W18+X17)</f>
        <v>46166558.381533548</v>
      </c>
      <c r="Y18" s="184"/>
      <c r="Z18" s="576">
        <v>1500</v>
      </c>
      <c r="AA18" s="614"/>
      <c r="AB18" s="533">
        <f>SUM(Z18+AB17)</f>
        <v>2014.4855</v>
      </c>
      <c r="AC18" s="424">
        <f>SUM(AB18+AC17)</f>
        <v>2122.5259115435001</v>
      </c>
      <c r="AD18" s="424">
        <f>SUM(AC18+AD17)</f>
        <v>2145.2140738464004</v>
      </c>
      <c r="AE18" s="180">
        <f>AD18</f>
        <v>2145.2140738464004</v>
      </c>
      <c r="AF18" s="183"/>
      <c r="AG18" s="533">
        <f>SUM(AD18+AG17)</f>
        <v>3628.9354806686556</v>
      </c>
      <c r="AH18" s="424">
        <f>SUM(AG18+AH17)</f>
        <v>4548.7663632974081</v>
      </c>
      <c r="AI18" s="424">
        <f>SUM(AH18+AI17)</f>
        <v>5119.0141529075154</v>
      </c>
      <c r="AJ18" s="180">
        <f>AI18</f>
        <v>5119.0141529075154</v>
      </c>
      <c r="AK18" s="183"/>
      <c r="AL18" s="533">
        <f>SUM(AI18+AL17)</f>
        <v>13175.521360215316</v>
      </c>
      <c r="AM18" s="424">
        <f>SUM(AL18+AM17)</f>
        <v>22196.582398181527</v>
      </c>
      <c r="AN18" s="424">
        <f>SUM(AM18+AN17)</f>
        <v>32297.677097990789</v>
      </c>
      <c r="AO18" s="180">
        <f>AN18</f>
        <v>32297.677097990789</v>
      </c>
      <c r="AP18" s="183"/>
      <c r="AQ18" s="533">
        <f>SUM(AN18+AQ17)</f>
        <v>43634.368376815648</v>
      </c>
      <c r="AR18" s="424">
        <f>SUM(AQ18+AR17)</f>
        <v>55974.665485715428</v>
      </c>
      <c r="AS18" s="424">
        <f>SUM(AR18+AS17)</f>
        <v>69407.414864748163</v>
      </c>
      <c r="AT18" s="180">
        <f>AS18</f>
        <v>69407.414864748163</v>
      </c>
      <c r="AU18" s="183"/>
      <c r="AV18" s="614"/>
      <c r="AW18" s="533">
        <f>SUM(AS18+AW17)</f>
        <v>84833.292363622502</v>
      </c>
      <c r="AX18" s="424">
        <f>SUM(AW18+AX17)</f>
        <v>101184.656130872</v>
      </c>
      <c r="AY18" s="424">
        <f>SUM(AX18+AY17)</f>
        <v>118517.03135999136</v>
      </c>
      <c r="AZ18" s="180">
        <f>AY18</f>
        <v>118517.03135999136</v>
      </c>
      <c r="BA18" s="183"/>
      <c r="BB18" s="533">
        <f>SUM(AY18+BB17)</f>
        <v>140467.73576199042</v>
      </c>
      <c r="BC18" s="424">
        <f>SUM(BB18+BC17)</f>
        <v>163186.58560862078</v>
      </c>
      <c r="BD18" s="424">
        <f>SUM(BC18+BD17)</f>
        <v>186700.46146887477</v>
      </c>
      <c r="BE18" s="180">
        <f>BD18</f>
        <v>186700.46146887477</v>
      </c>
      <c r="BF18" s="183"/>
      <c r="BG18" s="533">
        <f>SUM(BD18+BG17)</f>
        <v>221062.76534429012</v>
      </c>
      <c r="BH18" s="424">
        <f>SUM(BG18+BH17)</f>
        <v>256524.37638659516</v>
      </c>
      <c r="BI18" s="424">
        <f>SUM(BH18+BI17)</f>
        <v>293120.46325769211</v>
      </c>
      <c r="BJ18" s="180">
        <f>BI18</f>
        <v>293120.46325769211</v>
      </c>
      <c r="BK18" s="183"/>
      <c r="BL18" s="533">
        <f>SUM(BI18+BL17)</f>
        <v>352433.68855241034</v>
      </c>
      <c r="BM18" s="424">
        <f>SUM(BL18+BM17)</f>
        <v>413822.1523191072</v>
      </c>
      <c r="BN18" s="424">
        <f>SUM(BM18+BN17)</f>
        <v>477358.46255868272</v>
      </c>
      <c r="BO18" s="180">
        <f>BN18</f>
        <v>477358.46255868272</v>
      </c>
      <c r="BP18" s="183"/>
      <c r="BQ18" s="184"/>
      <c r="BR18" s="533">
        <f>SUM(BO18+BR17)</f>
        <v>580783.90636947204</v>
      </c>
      <c r="BS18" s="424">
        <f>SUM(BR18+BS17)</f>
        <v>688137.60803265194</v>
      </c>
      <c r="BT18" s="424">
        <f>SUM(BS18+BT17)</f>
        <v>799568.76883937756</v>
      </c>
      <c r="BU18" s="180">
        <f>BT18</f>
        <v>799568.76883937756</v>
      </c>
      <c r="BV18" s="183"/>
      <c r="BW18" s="533">
        <f>SUM(BT18+BW17)</f>
        <v>985101.77466526837</v>
      </c>
      <c r="BX18" s="424">
        <f>SUM(BW18+BX17)</f>
        <v>1178236.3427085259</v>
      </c>
      <c r="BY18" s="424">
        <f>SUM(BX18+BY17)</f>
        <v>1379283.9202390704</v>
      </c>
      <c r="BZ18" s="180">
        <f>BY18</f>
        <v>1379283.9202390704</v>
      </c>
      <c r="CA18" s="183"/>
      <c r="CB18" s="533">
        <f>SUM(BY18+CB17)</f>
        <v>1732402.2463668557</v>
      </c>
      <c r="CC18" s="424">
        <f>SUM(CB18+CC17)</f>
        <v>2101041.8685302441</v>
      </c>
      <c r="CD18" s="424">
        <f>SUM(CC18+CD17)</f>
        <v>2485885.0244178502</v>
      </c>
      <c r="CE18" s="180">
        <f>CD18</f>
        <v>2485885.0244178502</v>
      </c>
      <c r="CF18" s="183"/>
      <c r="CG18" s="533">
        <f>SUM(CD18+CG17)</f>
        <v>3166813.786633146</v>
      </c>
      <c r="CH18" s="424">
        <f>SUM(CG18+CH17)</f>
        <v>3879695.9835910513</v>
      </c>
      <c r="CI18" s="424">
        <f>SUM(CH18+CI17)</f>
        <v>4626031.0702250432</v>
      </c>
      <c r="CJ18" s="180">
        <f>CI18</f>
        <v>4626031.0702250432</v>
      </c>
      <c r="CK18" s="183"/>
      <c r="CL18" s="55"/>
      <c r="CM18" s="55"/>
      <c r="CN18" s="55"/>
      <c r="CO18" s="55"/>
      <c r="CP18" s="55"/>
      <c r="CQ18" s="55"/>
      <c r="CR18" s="55"/>
      <c r="CS18" s="55"/>
      <c r="CT18" s="55"/>
      <c r="CU18" s="55"/>
      <c r="CV18" s="55"/>
      <c r="CW18" s="55"/>
      <c r="CX18" s="55"/>
      <c r="CY18" s="55"/>
      <c r="CZ18" s="55"/>
      <c r="DA18" s="55"/>
      <c r="DB18" s="55"/>
      <c r="DC18" s="55"/>
      <c r="DD18" s="55"/>
      <c r="DE18" s="55"/>
      <c r="DF18" s="55"/>
      <c r="DG18" s="55"/>
      <c r="DH18" s="55"/>
      <c r="DI18" s="55"/>
      <c r="DJ18" s="55"/>
      <c r="DK18" s="55"/>
      <c r="DL18" s="55"/>
      <c r="DM18" s="55"/>
      <c r="DN18" s="55"/>
      <c r="DO18" s="55"/>
      <c r="DP18" s="55"/>
      <c r="DQ18" s="55"/>
      <c r="DR18" s="55"/>
      <c r="DS18" s="55"/>
      <c r="DT18" s="55"/>
      <c r="DU18" s="55"/>
      <c r="DV18" s="55"/>
      <c r="DW18" s="55"/>
      <c r="DX18" s="55"/>
      <c r="DY18" s="55"/>
      <c r="DZ18" s="55"/>
      <c r="EA18" s="55"/>
      <c r="EB18" s="55"/>
      <c r="EC18" s="55"/>
      <c r="ED18" s="55"/>
      <c r="EE18" s="55"/>
      <c r="EF18" s="55"/>
      <c r="EG18" s="55"/>
      <c r="EH18" s="55"/>
      <c r="EI18" s="55"/>
      <c r="EJ18" s="55"/>
      <c r="EK18" s="55"/>
      <c r="EL18" s="55"/>
      <c r="EM18" s="55"/>
      <c r="EN18" s="55"/>
      <c r="EO18" s="55"/>
      <c r="EP18" s="55"/>
      <c r="EQ18" s="55"/>
      <c r="ER18" s="55"/>
      <c r="ES18" s="55"/>
      <c r="ET18" s="55"/>
      <c r="EU18" s="55"/>
      <c r="EV18" s="55"/>
      <c r="EW18" s="55"/>
      <c r="EX18" s="55"/>
      <c r="EY18" s="55"/>
      <c r="EZ18" s="55"/>
      <c r="FA18" s="55"/>
      <c r="FB18" s="55"/>
      <c r="FC18" s="55"/>
      <c r="FD18" s="55"/>
      <c r="FE18" s="55"/>
      <c r="FF18" s="55"/>
      <c r="FG18" s="55"/>
      <c r="FH18" s="55"/>
      <c r="FI18" s="55"/>
      <c r="FJ18" s="55"/>
      <c r="FK18" s="55"/>
      <c r="FL18" s="55"/>
      <c r="FM18" s="55"/>
      <c r="FN18" s="55"/>
      <c r="FO18" s="55"/>
      <c r="FP18" s="55"/>
      <c r="FQ18" s="55"/>
      <c r="FR18" s="55"/>
      <c r="FS18" s="55"/>
      <c r="FT18" s="55"/>
      <c r="FU18" s="55"/>
      <c r="FV18" s="55"/>
      <c r="FW18" s="55"/>
    </row>
    <row r="19" spans="1:179" s="55" customFormat="1" ht="4.5" customHeight="1" x14ac:dyDescent="0.15">
      <c r="A19" s="189"/>
      <c r="B19" s="190"/>
      <c r="C19" s="191"/>
      <c r="D19" s="192"/>
      <c r="E19" s="193"/>
      <c r="F19" s="194"/>
      <c r="G19" s="195"/>
      <c r="H19" s="195"/>
      <c r="I19" s="195"/>
      <c r="J19" s="196"/>
      <c r="K19" s="195"/>
      <c r="L19" s="195"/>
      <c r="M19" s="195"/>
      <c r="N19" s="195"/>
      <c r="O19" s="196"/>
      <c r="P19" s="195"/>
      <c r="Q19" s="195"/>
      <c r="R19" s="195"/>
      <c r="S19" s="195"/>
      <c r="T19" s="197"/>
      <c r="U19" s="199"/>
      <c r="V19" s="190"/>
      <c r="W19" s="195"/>
      <c r="X19" s="198"/>
      <c r="Y19" s="199"/>
      <c r="Z19" s="564"/>
      <c r="AA19" s="615"/>
      <c r="AB19" s="593"/>
      <c r="AC19" s="200"/>
      <c r="AD19" s="200"/>
      <c r="AE19" s="200"/>
      <c r="AF19" s="201"/>
      <c r="AG19" s="593"/>
      <c r="AH19" s="200"/>
      <c r="AI19" s="200"/>
      <c r="AJ19" s="200"/>
      <c r="AK19" s="201"/>
      <c r="AL19" s="593"/>
      <c r="AM19" s="200"/>
      <c r="AN19" s="200"/>
      <c r="AO19" s="200"/>
      <c r="AP19" s="201"/>
      <c r="AQ19" s="593"/>
      <c r="AR19" s="200"/>
      <c r="AS19" s="200"/>
      <c r="AT19" s="200"/>
      <c r="AU19" s="201"/>
      <c r="AV19" s="615"/>
      <c r="AW19" s="593"/>
      <c r="AX19" s="200"/>
      <c r="AY19" s="200"/>
      <c r="AZ19" s="200"/>
      <c r="BA19" s="201"/>
      <c r="BB19" s="593"/>
      <c r="BC19" s="200"/>
      <c r="BD19" s="200"/>
      <c r="BE19" s="200"/>
      <c r="BF19" s="201"/>
      <c r="BG19" s="593"/>
      <c r="BH19" s="200"/>
      <c r="BI19" s="200"/>
      <c r="BJ19" s="200"/>
      <c r="BK19" s="201"/>
      <c r="BL19" s="593"/>
      <c r="BM19" s="200"/>
      <c r="BN19" s="200"/>
      <c r="BO19" s="200"/>
      <c r="BP19" s="201"/>
      <c r="BQ19" s="199"/>
      <c r="BR19" s="593"/>
      <c r="BS19" s="200"/>
      <c r="BT19" s="200"/>
      <c r="BU19" s="200"/>
      <c r="BV19" s="201"/>
      <c r="BW19" s="593"/>
      <c r="BX19" s="200"/>
      <c r="BY19" s="200"/>
      <c r="BZ19" s="200"/>
      <c r="CA19" s="201"/>
      <c r="CB19" s="593"/>
      <c r="CC19" s="200"/>
      <c r="CD19" s="200"/>
      <c r="CE19" s="200"/>
      <c r="CF19" s="201"/>
      <c r="CG19" s="593"/>
      <c r="CH19" s="200"/>
      <c r="CI19" s="200"/>
      <c r="CJ19" s="200"/>
      <c r="CK19" s="201"/>
    </row>
    <row r="20" spans="1:179" s="57" customFormat="1" ht="9.75" customHeight="1" x14ac:dyDescent="0.15">
      <c r="A20" s="486" t="s">
        <v>218</v>
      </c>
      <c r="B20" s="125"/>
      <c r="C20" s="202"/>
      <c r="D20" s="630"/>
      <c r="E20" s="631"/>
      <c r="F20" s="497"/>
      <c r="G20" s="496"/>
      <c r="H20" s="496"/>
      <c r="I20" s="496"/>
      <c r="J20" s="205"/>
      <c r="K20" s="496"/>
      <c r="L20" s="496"/>
      <c r="M20" s="496"/>
      <c r="N20" s="496"/>
      <c r="O20" s="205"/>
      <c r="P20" s="496"/>
      <c r="Q20" s="496"/>
      <c r="R20" s="496"/>
      <c r="S20" s="496"/>
      <c r="T20" s="206"/>
      <c r="U20" s="209"/>
      <c r="V20" s="207"/>
      <c r="W20" s="205"/>
      <c r="X20" s="208"/>
      <c r="Y20" s="209"/>
      <c r="Z20" s="577"/>
      <c r="AA20" s="616"/>
      <c r="AB20" s="594"/>
      <c r="AC20" s="490"/>
      <c r="AD20" s="490"/>
      <c r="AE20" s="490"/>
      <c r="AF20" s="212"/>
      <c r="AG20" s="594"/>
      <c r="AH20" s="490"/>
      <c r="AI20" s="490"/>
      <c r="AJ20" s="490"/>
      <c r="AK20" s="212"/>
      <c r="AL20" s="594"/>
      <c r="AM20" s="490"/>
      <c r="AN20" s="490"/>
      <c r="AO20" s="490"/>
      <c r="AP20" s="212"/>
      <c r="AQ20" s="594"/>
      <c r="AR20" s="490"/>
      <c r="AS20" s="490"/>
      <c r="AT20" s="490"/>
      <c r="AU20" s="212"/>
      <c r="AV20" s="616"/>
      <c r="AW20" s="594"/>
      <c r="AX20" s="490"/>
      <c r="AY20" s="490"/>
      <c r="AZ20" s="490"/>
      <c r="BA20" s="212"/>
      <c r="BB20" s="594"/>
      <c r="BC20" s="490"/>
      <c r="BD20" s="490"/>
      <c r="BE20" s="490"/>
      <c r="BF20" s="212"/>
      <c r="BG20" s="594"/>
      <c r="BH20" s="490"/>
      <c r="BI20" s="490"/>
      <c r="BJ20" s="490"/>
      <c r="BK20" s="212"/>
      <c r="BL20" s="594"/>
      <c r="BM20" s="490"/>
      <c r="BN20" s="490"/>
      <c r="BO20" s="490"/>
      <c r="BP20" s="212"/>
      <c r="BQ20" s="209"/>
      <c r="BR20" s="594"/>
      <c r="BS20" s="490"/>
      <c r="BT20" s="490"/>
      <c r="BU20" s="490"/>
      <c r="BV20" s="212"/>
      <c r="BW20" s="594"/>
      <c r="BX20" s="490"/>
      <c r="BY20" s="490"/>
      <c r="BZ20" s="490"/>
      <c r="CA20" s="212"/>
      <c r="CB20" s="594"/>
      <c r="CC20" s="490"/>
      <c r="CD20" s="490"/>
      <c r="CE20" s="490"/>
      <c r="CF20" s="212"/>
      <c r="CG20" s="594"/>
      <c r="CH20" s="490"/>
      <c r="CI20" s="490"/>
      <c r="CJ20" s="490"/>
      <c r="CK20" s="212"/>
      <c r="CL20" s="55"/>
      <c r="CM20" s="55"/>
      <c r="CN20" s="55"/>
      <c r="CO20" s="55"/>
      <c r="CP20" s="55"/>
      <c r="CQ20" s="55"/>
      <c r="CR20" s="55"/>
      <c r="CS20" s="55"/>
      <c r="CT20" s="55"/>
      <c r="CU20" s="55"/>
      <c r="CV20" s="55"/>
      <c r="CW20" s="55"/>
      <c r="CX20" s="55"/>
      <c r="CY20" s="55"/>
      <c r="CZ20" s="55"/>
      <c r="DA20" s="55"/>
      <c r="DB20" s="55"/>
      <c r="DC20" s="55"/>
      <c r="DD20" s="55"/>
      <c r="DE20" s="55"/>
      <c r="DF20" s="55"/>
      <c r="DG20" s="55"/>
      <c r="DH20" s="55"/>
      <c r="DI20" s="55"/>
      <c r="DJ20" s="55"/>
      <c r="DK20" s="55"/>
      <c r="DL20" s="55"/>
      <c r="DM20" s="55"/>
      <c r="DN20" s="55"/>
      <c r="DO20" s="55"/>
      <c r="DP20" s="55"/>
      <c r="DQ20" s="55"/>
      <c r="DR20" s="55"/>
      <c r="DS20" s="55"/>
      <c r="DT20" s="55"/>
      <c r="DU20" s="55"/>
      <c r="DV20" s="55"/>
      <c r="DW20" s="55"/>
      <c r="DX20" s="55"/>
      <c r="DY20" s="55"/>
      <c r="DZ20" s="55"/>
      <c r="EA20" s="55"/>
      <c r="EB20" s="55"/>
      <c r="EC20" s="55"/>
      <c r="ED20" s="55"/>
      <c r="EE20" s="55"/>
      <c r="EF20" s="55"/>
      <c r="EG20" s="55"/>
      <c r="EH20" s="55"/>
      <c r="EI20" s="55"/>
      <c r="EJ20" s="55"/>
      <c r="EK20" s="55"/>
      <c r="EL20" s="55"/>
      <c r="EM20" s="55"/>
      <c r="EN20" s="55"/>
      <c r="EO20" s="55"/>
      <c r="EP20" s="55"/>
      <c r="EQ20" s="55"/>
      <c r="ER20" s="55"/>
      <c r="ES20" s="55"/>
      <c r="ET20" s="55"/>
      <c r="EU20" s="55"/>
      <c r="EV20" s="55"/>
      <c r="EW20" s="55"/>
      <c r="EX20" s="55"/>
      <c r="EY20" s="55"/>
      <c r="EZ20" s="55"/>
      <c r="FA20" s="55"/>
      <c r="FB20" s="55"/>
      <c r="FC20" s="55"/>
      <c r="FD20" s="55"/>
      <c r="FE20" s="55"/>
      <c r="FF20" s="55"/>
      <c r="FG20" s="55"/>
      <c r="FH20" s="55"/>
      <c r="FI20" s="55"/>
      <c r="FJ20" s="55"/>
      <c r="FK20" s="55"/>
      <c r="FL20" s="55"/>
      <c r="FM20" s="55"/>
      <c r="FN20" s="55"/>
      <c r="FO20" s="55"/>
      <c r="FP20" s="55"/>
      <c r="FQ20" s="55"/>
      <c r="FR20" s="55"/>
      <c r="FS20" s="55"/>
      <c r="FT20" s="55"/>
      <c r="FU20" s="55"/>
      <c r="FV20" s="55"/>
      <c r="FW20" s="55"/>
    </row>
    <row r="21" spans="1:179" s="57" customFormat="1" ht="9.75" customHeight="1" x14ac:dyDescent="0.15">
      <c r="A21" s="468" t="s">
        <v>144</v>
      </c>
      <c r="B21" s="300">
        <v>0.5</v>
      </c>
      <c r="C21" s="214">
        <v>7.0000000000000007E-2</v>
      </c>
      <c r="D21" s="224"/>
      <c r="E21" s="225"/>
      <c r="F21" s="215">
        <v>0</v>
      </c>
      <c r="G21" s="216">
        <v>0</v>
      </c>
      <c r="H21" s="493">
        <f>SUM(IF(ISBLANK(D21),B21,D21))</f>
        <v>0.5</v>
      </c>
      <c r="I21" s="493">
        <f>SUM(IF((1*(IF(ISBLANK(E21),C21,E21)))+IF(ISBLANK(D21),B21,D21) &lt; 0, 0, (1*(IF(ISBLANK(E21),C21,E21)))+IF(ISBLANK(D21),B21,D21)))</f>
        <v>0.57000000000000006</v>
      </c>
      <c r="J21" s="217">
        <f>SUM(AE21+AJ21+AO21+AT21)</f>
        <v>130174.26620274299</v>
      </c>
      <c r="K21" s="493">
        <f>SUM(IF((2*(IF(ISBLANK(E21),C21,E21)))+IF(ISBLANK(D21),B21,D21) &lt; 0, 0, (2*(IF(ISBLANK(E21),C21,E21)))+IF(ISBLANK(D21),B21,D21)))</f>
        <v>0.64</v>
      </c>
      <c r="L21" s="493">
        <f>SUM(IF((3*(IF(ISBLANK(E21),C21,E21)))+IF(ISBLANK(D21),B21,D21) &lt; 0, 0, (3*(IF(ISBLANK(E21),C21,E21)))+IF(ISBLANK(D21),B21,D21)))</f>
        <v>0.71</v>
      </c>
      <c r="M21" s="493">
        <f>SUM(IF((4*(IF(ISBLANK(E21),C21,E21)))+IF(ISBLANK(D21),B21,D21) &lt; 0, 0, (4*(IF(ISBLANK(E21),C21,E21)))+IF(ISBLANK(D21),B21,D21)))</f>
        <v>0.78</v>
      </c>
      <c r="N21" s="493">
        <f>SUM(IF((5*(IF(ISBLANK(E21),C21,E21)))+IF(ISBLANK(D21),B21,D21) &lt; 0, 0, (5*(IF(ISBLANK(E21),C21,E21)))+IF(ISBLANK(D21),B21,D21)))</f>
        <v>0.85000000000000009</v>
      </c>
      <c r="O21" s="217">
        <f>SUM(AZ21+BE21+BJ21+BO21)</f>
        <v>2201278.3727296665</v>
      </c>
      <c r="P21" s="493">
        <f>SUM(IF((6*(IF(ISBLANK(E21),C21,E21)))+IF(ISBLANK(D21),B21,D21) &lt; 0, 0, (6*(IF(ISBLANK(E21),C21,E21)))+IF(ISBLANK(D21),B21,D21)))</f>
        <v>0.92</v>
      </c>
      <c r="Q21" s="493">
        <f>SUM(IF((7*(IF(ISBLANK(E21),C21,E21)))+IF(ISBLANK(D21),B21,D21) &lt; 0, 0, (7*(IF(ISBLANK(E21),C21,E21)))+IF(ISBLANK(D21),B21,D21)))</f>
        <v>0.99</v>
      </c>
      <c r="R21" s="493">
        <f>SUM(IF((8*(IF(ISBLANK(E21),C21,E21)))+IF(ISBLANK(D21),B21,D21) &lt; 0, 0, (8*(IF(ISBLANK(E21),C21,E21)))+IF(ISBLANK(D21),B21,D21)))</f>
        <v>1.06</v>
      </c>
      <c r="S21" s="493">
        <f>SUM(IF((9*(IF(ISBLANK(E21),C21,E21)))+IF(ISBLANK(D21),B21,D21) &lt; 0, 0, (9*(IF(ISBLANK(E21),C21,E21)))+IF(ISBLANK(D21),B21,D21)))</f>
        <v>1.1300000000000001</v>
      </c>
      <c r="T21" s="218">
        <f>SUM(BU21+BZ21+CE21+CJ21)</f>
        <v>25298666.915200405</v>
      </c>
      <c r="U21" s="247"/>
      <c r="V21" s="213">
        <f>SUM(IF((11*(IF(ISBLANK(E21),C21,E21)))+IF(ISBLANK(D21),B21,D21) &lt; 0, 0, (11*(IF(ISBLANK(E21),C21,E21)))+IF(ISBLANK(D21),B21,D21)))*12</f>
        <v>15.24</v>
      </c>
      <c r="W21" s="219">
        <f>SUM(IF((13*(IF(ISBLANK(E21),C21,E21)))+IF(ISBLANK(D21),B21,D21) &lt; 0, 0, (13*(IF(ISBLANK(E21),C21,E21)))+IF(ISBLANK(D21),B21,D21)))*12</f>
        <v>16.920000000000002</v>
      </c>
      <c r="X21" s="220">
        <f>SUM(IF((15*(IF(ISBLANK(E21),C21,E21)))+IF(ISBLANK(D21),B21,D21) &lt; 0, 0, (15*(IF(ISBLANK(E21),C21,E21)))+IF(ISBLANK(D21),B21,D21)))*12</f>
        <v>18.600000000000001</v>
      </c>
      <c r="Y21" s="221"/>
      <c r="Z21" s="578">
        <v>0</v>
      </c>
      <c r="AA21" s="617"/>
      <c r="AB21" s="532">
        <f>SUM(AB18*F21)</f>
        <v>0</v>
      </c>
      <c r="AC21" s="492">
        <f>SUM(AC18*F21)</f>
        <v>0</v>
      </c>
      <c r="AD21" s="492">
        <f>SUM(AD18*F21)</f>
        <v>0</v>
      </c>
      <c r="AE21" s="492">
        <f t="shared" ref="AE21:AE29" si="70">SUM(AB21:AD21)</f>
        <v>0</v>
      </c>
      <c r="AF21" s="222"/>
      <c r="AG21" s="532">
        <f>SUM(AG18*G21)</f>
        <v>0</v>
      </c>
      <c r="AH21" s="492">
        <f>SUM(AH18*G21)</f>
        <v>0</v>
      </c>
      <c r="AI21" s="492">
        <f>SUM(AI18*G21)</f>
        <v>0</v>
      </c>
      <c r="AJ21" s="492">
        <f t="shared" ref="AJ21:AJ29" si="71">SUM(AG21:AI21)</f>
        <v>0</v>
      </c>
      <c r="AK21" s="222"/>
      <c r="AL21" s="532">
        <f t="shared" ref="AL21:AL28" si="72">SUM(AL18*H21)</f>
        <v>6587.7606801076581</v>
      </c>
      <c r="AM21" s="492">
        <f t="shared" ref="AM21:AM28" si="73">SUM(AM18*H21)</f>
        <v>11098.291199090763</v>
      </c>
      <c r="AN21" s="492">
        <f t="shared" ref="AN21:AN28" si="74">SUM(AN18*H21)</f>
        <v>16148.838548995394</v>
      </c>
      <c r="AO21" s="492">
        <f t="shared" ref="AO21:AO29" si="75">SUM(AL21:AN21)</f>
        <v>33834.890428193816</v>
      </c>
      <c r="AP21" s="222"/>
      <c r="AQ21" s="532">
        <f>SUM(AQ18*I21)</f>
        <v>24871.589974784922</v>
      </c>
      <c r="AR21" s="492">
        <f>SUM(AR18*I21)</f>
        <v>31905.559326857798</v>
      </c>
      <c r="AS21" s="492">
        <f>SUM(AS18*I21)</f>
        <v>39562.226472906455</v>
      </c>
      <c r="AT21" s="492">
        <f t="shared" ref="AT21:AT29" si="76">SUM(AQ21:AS21)</f>
        <v>96339.375774549175</v>
      </c>
      <c r="AU21" s="222"/>
      <c r="AV21" s="617"/>
      <c r="AW21" s="532">
        <f>SUM(AW18*K21)</f>
        <v>54293.307112718401</v>
      </c>
      <c r="AX21" s="492">
        <f>SUM(AX18*K21)</f>
        <v>64758.179923758078</v>
      </c>
      <c r="AY21" s="492">
        <f>SUM(AY18*K21)</f>
        <v>75850.900070394477</v>
      </c>
      <c r="AZ21" s="492">
        <f t="shared" ref="AZ21:AZ29" si="77">SUM(AW21:AY21)</f>
        <v>194902.38710687094</v>
      </c>
      <c r="BA21" s="222"/>
      <c r="BB21" s="532">
        <f>SUM(BB18*L21)</f>
        <v>99732.092391013197</v>
      </c>
      <c r="BC21" s="492">
        <f>SUM(BC18*L21)</f>
        <v>115862.47578212075</v>
      </c>
      <c r="BD21" s="492">
        <f>SUM(BD18*L21)</f>
        <v>132557.32764290107</v>
      </c>
      <c r="BE21" s="492">
        <f t="shared" ref="BE21:BE29" si="78">SUM(BB21:BD21)</f>
        <v>348151.89581603499</v>
      </c>
      <c r="BF21" s="222"/>
      <c r="BG21" s="532">
        <f>SUM(BG18*M21)</f>
        <v>172428.95696854629</v>
      </c>
      <c r="BH21" s="492">
        <f>SUM(BH18*M21)</f>
        <v>200089.01358154422</v>
      </c>
      <c r="BI21" s="492">
        <f>SUM(BI18*M21)</f>
        <v>228633.96134099987</v>
      </c>
      <c r="BJ21" s="492">
        <f t="shared" ref="BJ21:BJ29" si="79">SUM(BG21:BI21)</f>
        <v>601151.93189109047</v>
      </c>
      <c r="BK21" s="222"/>
      <c r="BL21" s="532">
        <f>SUM(BL18*N21)</f>
        <v>299568.6352695488</v>
      </c>
      <c r="BM21" s="492">
        <f>SUM(BM18*N21)</f>
        <v>351748.82947124116</v>
      </c>
      <c r="BN21" s="492">
        <f>SUM(BN18*N21)</f>
        <v>405754.69317488035</v>
      </c>
      <c r="BO21" s="492">
        <f t="shared" ref="BO21:BO29" si="80">SUM(BL21:BN21)</f>
        <v>1057072.1579156704</v>
      </c>
      <c r="BP21" s="222"/>
      <c r="BQ21" s="221"/>
      <c r="BR21" s="532">
        <f>SUM(BR18*P21)</f>
        <v>534321.19385991432</v>
      </c>
      <c r="BS21" s="492">
        <f>SUM(BS18*P21)</f>
        <v>633086.5993900398</v>
      </c>
      <c r="BT21" s="492">
        <f>SUM(BT18*P21)</f>
        <v>735603.26733222743</v>
      </c>
      <c r="BU21" s="492">
        <f t="shared" ref="BU21:BU29" si="81">SUM(BR21:BT21)</f>
        <v>1903011.0605821814</v>
      </c>
      <c r="BV21" s="222"/>
      <c r="BW21" s="532">
        <f>SUM(BW18*Q21)</f>
        <v>975250.75691861566</v>
      </c>
      <c r="BX21" s="492">
        <f>SUM(BX18*Q21)</f>
        <v>1166453.9792814406</v>
      </c>
      <c r="BY21" s="492">
        <f>SUM(BY18*Q21)</f>
        <v>1365491.0810366797</v>
      </c>
      <c r="BZ21" s="492">
        <f t="shared" ref="BZ21:BZ29" si="82">SUM(BW21:BY21)</f>
        <v>3507195.8172367355</v>
      </c>
      <c r="CA21" s="222"/>
      <c r="CB21" s="532">
        <f>SUM(CB18*R21)</f>
        <v>1836346.3811488671</v>
      </c>
      <c r="CC21" s="492">
        <f>SUM(CC18*R21)</f>
        <v>2227104.3806420588</v>
      </c>
      <c r="CD21" s="492">
        <f>SUM(CD18*R21)</f>
        <v>2635038.1258829213</v>
      </c>
      <c r="CE21" s="492">
        <f t="shared" ref="CE21:CE29" si="83">SUM(CB21:CD21)</f>
        <v>6698488.8876738474</v>
      </c>
      <c r="CF21" s="222"/>
      <c r="CG21" s="532">
        <f>SUM(CG18*S21)</f>
        <v>3578499.5788954552</v>
      </c>
      <c r="CH21" s="492">
        <f>SUM(CH18*S21)</f>
        <v>4384056.4614578886</v>
      </c>
      <c r="CI21" s="492">
        <f>SUM(CI18*S21)</f>
        <v>5227415.1093542995</v>
      </c>
      <c r="CJ21" s="492">
        <f t="shared" ref="CJ21:CJ29" si="84">SUM(CG21:CI21)</f>
        <v>13189971.149707643</v>
      </c>
      <c r="CK21" s="222"/>
      <c r="CL21" s="55"/>
      <c r="CM21" s="55"/>
      <c r="CN21" s="55"/>
      <c r="CO21" s="55"/>
      <c r="CP21" s="55"/>
      <c r="CQ21" s="55"/>
      <c r="CR21" s="55"/>
      <c r="CS21" s="55"/>
      <c r="CT21" s="55"/>
      <c r="CU21" s="55"/>
      <c r="CV21" s="55"/>
      <c r="CW21" s="55"/>
      <c r="CX21" s="55"/>
      <c r="CY21" s="55"/>
      <c r="CZ21" s="55"/>
      <c r="DA21" s="55"/>
      <c r="DB21" s="55"/>
      <c r="DC21" s="55"/>
      <c r="DD21" s="55"/>
      <c r="DE21" s="55"/>
      <c r="DF21" s="55"/>
      <c r="DG21" s="55"/>
      <c r="DH21" s="55"/>
      <c r="DI21" s="55"/>
      <c r="DJ21" s="55"/>
      <c r="DK21" s="55"/>
      <c r="DL21" s="55"/>
      <c r="DM21" s="55"/>
      <c r="DN21" s="55"/>
      <c r="DO21" s="55"/>
      <c r="DP21" s="55"/>
      <c r="DQ21" s="55"/>
      <c r="DR21" s="55"/>
      <c r="DS21" s="55"/>
      <c r="DT21" s="55"/>
      <c r="DU21" s="55"/>
      <c r="DV21" s="55"/>
      <c r="DW21" s="55"/>
      <c r="DX21" s="55"/>
      <c r="DY21" s="55"/>
      <c r="DZ21" s="55"/>
      <c r="EA21" s="55"/>
      <c r="EB21" s="55"/>
      <c r="EC21" s="55"/>
      <c r="ED21" s="55"/>
      <c r="EE21" s="55"/>
      <c r="EF21" s="55"/>
      <c r="EG21" s="55"/>
      <c r="EH21" s="55"/>
      <c r="EI21" s="55"/>
      <c r="EJ21" s="55"/>
      <c r="EK21" s="55"/>
      <c r="EL21" s="55"/>
      <c r="EM21" s="55"/>
      <c r="EN21" s="55"/>
      <c r="EO21" s="55"/>
      <c r="EP21" s="55"/>
      <c r="EQ21" s="55"/>
      <c r="ER21" s="55"/>
      <c r="ES21" s="55"/>
      <c r="ET21" s="55"/>
      <c r="EU21" s="55"/>
      <c r="EV21" s="55"/>
      <c r="EW21" s="55"/>
      <c r="EX21" s="55"/>
      <c r="EY21" s="55"/>
      <c r="EZ21" s="55"/>
      <c r="FA21" s="55"/>
      <c r="FB21" s="55"/>
      <c r="FC21" s="55"/>
      <c r="FD21" s="55"/>
      <c r="FE21" s="55"/>
      <c r="FF21" s="55"/>
      <c r="FG21" s="55"/>
      <c r="FH21" s="55"/>
      <c r="FI21" s="55"/>
      <c r="FJ21" s="55"/>
      <c r="FK21" s="55"/>
      <c r="FL21" s="55"/>
      <c r="FM21" s="55"/>
      <c r="FN21" s="55"/>
      <c r="FO21" s="55"/>
      <c r="FP21" s="55"/>
      <c r="FQ21" s="55"/>
      <c r="FR21" s="55"/>
      <c r="FS21" s="55"/>
      <c r="FT21" s="55"/>
      <c r="FU21" s="55"/>
      <c r="FV21" s="55"/>
      <c r="FW21" s="55"/>
    </row>
    <row r="22" spans="1:179" s="57" customFormat="1" ht="9.75" customHeight="1" x14ac:dyDescent="0.15">
      <c r="A22" s="468" t="s">
        <v>145</v>
      </c>
      <c r="B22" s="300">
        <v>0.3</v>
      </c>
      <c r="C22" s="214">
        <v>7.0000000000000007E-2</v>
      </c>
      <c r="D22" s="224"/>
      <c r="E22" s="225"/>
      <c r="F22" s="215">
        <v>0</v>
      </c>
      <c r="G22" s="216">
        <v>0</v>
      </c>
      <c r="H22" s="493">
        <f t="shared" ref="H22" si="85">SUM(IF(ISBLANK(D22),B22,D22))</f>
        <v>0.3</v>
      </c>
      <c r="I22" s="493">
        <f t="shared" ref="I22" si="86">SUM(IF((1*(IF(ISBLANK(E22),C22,E22)))+IF(ISBLANK(D22),B22,D22) &lt; 0, 0, (1*(IF(ISBLANK(E22),C22,E22)))+IF(ISBLANK(D22),B22,D22)))</f>
        <v>0.37</v>
      </c>
      <c r="J22" s="217">
        <f>SUM(AE22+AJ22+AO22+AT22)</f>
        <v>62536.08602909332</v>
      </c>
      <c r="K22" s="493">
        <f t="shared" ref="K22" si="87">SUM(IF((2*(IF(ISBLANK(E22),C22,E22)))+IF(ISBLANK(D22),B22,D22) &lt; 0, 0, (2*(IF(ISBLANK(E22),C22,E22)))+IF(ISBLANK(D22),B22,D22)))</f>
        <v>0.44</v>
      </c>
      <c r="L22" s="493">
        <f t="shared" ref="L22" si="88">SUM(IF((3*(IF(ISBLANK(E22),C22,E22)))+IF(ISBLANK(D22),B22,D22) &lt; 0, 0, (3*(IF(ISBLANK(E22),C22,E22)))+IF(ISBLANK(D22),B22,D22)))</f>
        <v>0.51</v>
      </c>
      <c r="M22" s="493">
        <f t="shared" ref="M22" si="89">SUM(IF((4*(IF(ISBLANK(E22),C22,E22)))+IF(ISBLANK(D22),B22,D22) &lt; 0, 0, (4*(IF(ISBLANK(E22),C22,E22)))+IF(ISBLANK(D22),B22,D22)))</f>
        <v>0.58000000000000007</v>
      </c>
      <c r="N22" s="493">
        <f t="shared" ref="N22" si="90">SUM(IF((5*(IF(ISBLANK(E22),C22,E22)))+IF(ISBLANK(D22),B22,D22) &lt; 0, 0, (5*(IF(ISBLANK(E22),C22,E22)))+IF(ISBLANK(D22),B22,D22)))</f>
        <v>0.65</v>
      </c>
      <c r="O22" s="217">
        <f t="shared" ref="O22:O29" si="91">SUM(AZ22+BE22+BJ22+BO22)</f>
        <v>1639436.0385071167</v>
      </c>
      <c r="P22" s="493">
        <f t="shared" ref="P22" si="92">SUM(IF((6*(IF(ISBLANK(E22),C22,E22)))+IF(ISBLANK(D22),B22,D22) &lt; 0, 0, (6*(IF(ISBLANK(E22),C22,E22)))+IF(ISBLANK(D22),B22,D22)))</f>
        <v>0.72</v>
      </c>
      <c r="Q22" s="493">
        <f t="shared" ref="Q22" si="93">SUM(IF((7*(IF(ISBLANK(E22),C22,E22)))+IF(ISBLANK(D22),B22,D22) &lt; 0, 0, (7*(IF(ISBLANK(E22),C22,E22)))+IF(ISBLANK(D22),B22,D22)))</f>
        <v>0.79</v>
      </c>
      <c r="R22" s="493">
        <f t="shared" ref="R22" si="94">SUM(IF((8*(IF(ISBLANK(E22),C22,E22)))+IF(ISBLANK(D22),B22,D22) &lt; 0, 0, (8*(IF(ISBLANK(E22),C22,E22)))+IF(ISBLANK(D22),B22,D22)))</f>
        <v>0.8600000000000001</v>
      </c>
      <c r="S22" s="493">
        <f t="shared" ref="S22" si="95">SUM(IF((9*(IF(ISBLANK(E22),C22,E22)))+IF(ISBLANK(D22),B22,D22) &lt; 0, 0, (9*(IF(ISBLANK(E22),C22,E22)))+IF(ISBLANK(D22),B22,D22)))</f>
        <v>0.93000000000000016</v>
      </c>
      <c r="T22" s="218">
        <f t="shared" ref="T22:T29" si="96">SUM(BU22+BZ22+CE22+CJ22)</f>
        <v>20578070.455076698</v>
      </c>
      <c r="U22" s="247"/>
      <c r="V22" s="213">
        <f>SUM(IF((11*(IF(ISBLANK(E22),C22,E22)))+IF(ISBLANK(D22),B22,D22) &lt; 0, 0, (11*(IF(ISBLANK(E22),C22,E22)))+IF(ISBLANK(D22),B22,D22)))*12</f>
        <v>12.84</v>
      </c>
      <c r="W22" s="219">
        <f>SUM(IF((13*(IF(ISBLANK(E22),C22,E22)))+IF(ISBLANK(D22),B22,D22) &lt; 0, 0, (13*(IF(ISBLANK(E22),C22,E22)))+IF(ISBLANK(D22),B22,D22)))*12</f>
        <v>14.520000000000003</v>
      </c>
      <c r="X22" s="220">
        <f>SUM(IF((15*(IF(ISBLANK(E22),C22,E22)))+IF(ISBLANK(D22),B22,D22) &lt; 0, 0, (15*(IF(ISBLANK(E22),C22,E22)))+IF(ISBLANK(D22),B22,D22)))*12</f>
        <v>16.200000000000003</v>
      </c>
      <c r="Y22" s="221"/>
      <c r="Z22" s="578">
        <v>0</v>
      </c>
      <c r="AA22" s="617"/>
      <c r="AB22" s="532">
        <f>SUM(AB18*F22)</f>
        <v>0</v>
      </c>
      <c r="AC22" s="492">
        <f>SUM(AC18*F22)</f>
        <v>0</v>
      </c>
      <c r="AD22" s="492">
        <f>SUM(AD18*F22)</f>
        <v>0</v>
      </c>
      <c r="AE22" s="492">
        <f t="shared" si="70"/>
        <v>0</v>
      </c>
      <c r="AF22" s="222"/>
      <c r="AG22" s="532">
        <f>SUM(AG18*G22)</f>
        <v>0</v>
      </c>
      <c r="AH22" s="492">
        <f>SUM(AH18*G22)</f>
        <v>0</v>
      </c>
      <c r="AI22" s="492">
        <f>SUM(AI18*G22)</f>
        <v>0</v>
      </c>
      <c r="AJ22" s="492">
        <f t="shared" si="71"/>
        <v>0</v>
      </c>
      <c r="AK22" s="222"/>
      <c r="AL22" s="532">
        <f t="shared" si="72"/>
        <v>0</v>
      </c>
      <c r="AM22" s="492">
        <f t="shared" si="73"/>
        <v>0</v>
      </c>
      <c r="AN22" s="492">
        <f t="shared" si="74"/>
        <v>0</v>
      </c>
      <c r="AO22" s="492">
        <f t="shared" si="75"/>
        <v>0</v>
      </c>
      <c r="AP22" s="222"/>
      <c r="AQ22" s="532">
        <f>SUM(AQ18*I22)</f>
        <v>16144.716299421789</v>
      </c>
      <c r="AR22" s="492">
        <f>SUM(AR18*I22)</f>
        <v>20710.626229714708</v>
      </c>
      <c r="AS22" s="492">
        <f>SUM(AS18*I22)</f>
        <v>25680.743499956821</v>
      </c>
      <c r="AT22" s="492">
        <f t="shared" si="76"/>
        <v>62536.08602909332</v>
      </c>
      <c r="AU22" s="222"/>
      <c r="AV22" s="617"/>
      <c r="AW22" s="532">
        <f>SUM(AW18*K22)</f>
        <v>37326.648639993902</v>
      </c>
      <c r="AX22" s="492">
        <f>SUM(AX18*K22)</f>
        <v>44521.24869758368</v>
      </c>
      <c r="AY22" s="492">
        <f>SUM(AY18*K22)</f>
        <v>52147.493798396201</v>
      </c>
      <c r="AZ22" s="492">
        <f t="shared" si="77"/>
        <v>133995.3911359738</v>
      </c>
      <c r="BA22" s="222"/>
      <c r="BB22" s="532">
        <f>SUM(BB18*L22)</f>
        <v>71638.545238615116</v>
      </c>
      <c r="BC22" s="492">
        <f>SUM(BC18*L22)</f>
        <v>83225.158660396599</v>
      </c>
      <c r="BD22" s="492">
        <f>SUM(BD18*L22)</f>
        <v>95217.235349126131</v>
      </c>
      <c r="BE22" s="492">
        <f t="shared" si="78"/>
        <v>250080.93924813785</v>
      </c>
      <c r="BF22" s="222"/>
      <c r="BG22" s="532">
        <f>SUM(BG18*M22)</f>
        <v>128216.40389968829</v>
      </c>
      <c r="BH22" s="492">
        <f>SUM(BH18*M22)</f>
        <v>148784.1383042252</v>
      </c>
      <c r="BI22" s="492">
        <f>SUM(BI18*M22)</f>
        <v>170009.86868946144</v>
      </c>
      <c r="BJ22" s="492">
        <f t="shared" si="79"/>
        <v>447010.41089337494</v>
      </c>
      <c r="BK22" s="222"/>
      <c r="BL22" s="532">
        <f>SUM(BL18*N22)</f>
        <v>229081.89755906674</v>
      </c>
      <c r="BM22" s="492">
        <f>SUM(BM18*N22)</f>
        <v>268984.39900741971</v>
      </c>
      <c r="BN22" s="492">
        <f>SUM(BN18*N22)</f>
        <v>310283.00066314376</v>
      </c>
      <c r="BO22" s="492">
        <f t="shared" si="80"/>
        <v>808349.29722963017</v>
      </c>
      <c r="BP22" s="222"/>
      <c r="BQ22" s="221"/>
      <c r="BR22" s="532">
        <f>SUM(BR18*P22)</f>
        <v>418164.41258601984</v>
      </c>
      <c r="BS22" s="492">
        <f>SUM(BS18*P22)</f>
        <v>495459.07778350939</v>
      </c>
      <c r="BT22" s="492">
        <f>SUM(BT18*P22)</f>
        <v>575689.51356435183</v>
      </c>
      <c r="BU22" s="492">
        <f t="shared" si="81"/>
        <v>1489313.0039338809</v>
      </c>
      <c r="BV22" s="222"/>
      <c r="BW22" s="532">
        <f>SUM(BW18*Q22)</f>
        <v>778230.40198556206</v>
      </c>
      <c r="BX22" s="492">
        <f>SUM(BX18*Q22)</f>
        <v>930806.71073973551</v>
      </c>
      <c r="BY22" s="492">
        <f>SUM(BY18*Q22)</f>
        <v>1089634.2969888656</v>
      </c>
      <c r="BZ22" s="492">
        <f t="shared" si="82"/>
        <v>2798671.4097141633</v>
      </c>
      <c r="CA22" s="222"/>
      <c r="CB22" s="532">
        <f>SUM(CB18*R22)</f>
        <v>1489865.9318754962</v>
      </c>
      <c r="CC22" s="492">
        <f>SUM(CC18*R22)</f>
        <v>1806896.0069360102</v>
      </c>
      <c r="CD22" s="492">
        <f>SUM(CD18*R22)</f>
        <v>2137861.1209993516</v>
      </c>
      <c r="CE22" s="492">
        <f t="shared" si="83"/>
        <v>5434623.0598108582</v>
      </c>
      <c r="CF22" s="222"/>
      <c r="CG22" s="532">
        <f>SUM(CG18*S22)</f>
        <v>2945136.8215688262</v>
      </c>
      <c r="CH22" s="492">
        <f>SUM(CH18*S22)</f>
        <v>3608117.2647396782</v>
      </c>
      <c r="CI22" s="492">
        <f>SUM(CI18*S22)</f>
        <v>4302208.8953092908</v>
      </c>
      <c r="CJ22" s="492">
        <f t="shared" si="84"/>
        <v>10855462.981617795</v>
      </c>
      <c r="CK22" s="222"/>
      <c r="CL22" s="55"/>
      <c r="CM22" s="55"/>
      <c r="CN22" s="55"/>
      <c r="CO22" s="55"/>
      <c r="CP22" s="55"/>
      <c r="CQ22" s="55"/>
      <c r="CR22" s="55"/>
      <c r="CS22" s="55"/>
      <c r="CT22" s="55"/>
      <c r="CU22" s="55"/>
      <c r="CV22" s="55"/>
      <c r="CW22" s="55"/>
      <c r="CX22" s="55"/>
      <c r="CY22" s="55"/>
      <c r="CZ22" s="55"/>
      <c r="DA22" s="55"/>
      <c r="DB22" s="55"/>
      <c r="DC22" s="55"/>
      <c r="DD22" s="55"/>
      <c r="DE22" s="55"/>
      <c r="DF22" s="55"/>
      <c r="DG22" s="55"/>
      <c r="DH22" s="55"/>
      <c r="DI22" s="55"/>
      <c r="DJ22" s="55"/>
      <c r="DK22" s="55"/>
      <c r="DL22" s="55"/>
      <c r="DM22" s="55"/>
      <c r="DN22" s="55"/>
      <c r="DO22" s="55"/>
      <c r="DP22" s="55"/>
      <c r="DQ22" s="55"/>
      <c r="DR22" s="55"/>
      <c r="DS22" s="55"/>
      <c r="DT22" s="55"/>
      <c r="DU22" s="55"/>
      <c r="DV22" s="55"/>
      <c r="DW22" s="55"/>
      <c r="DX22" s="55"/>
      <c r="DY22" s="55"/>
      <c r="DZ22" s="55"/>
      <c r="EA22" s="55"/>
      <c r="EB22" s="55"/>
      <c r="EC22" s="55"/>
      <c r="ED22" s="55"/>
      <c r="EE22" s="55"/>
      <c r="EF22" s="55"/>
      <c r="EG22" s="55"/>
      <c r="EH22" s="55"/>
      <c r="EI22" s="55"/>
      <c r="EJ22" s="55"/>
      <c r="EK22" s="55"/>
      <c r="EL22" s="55"/>
      <c r="EM22" s="55"/>
      <c r="EN22" s="55"/>
      <c r="EO22" s="55"/>
      <c r="EP22" s="55"/>
      <c r="EQ22" s="55"/>
      <c r="ER22" s="55"/>
      <c r="ES22" s="55"/>
      <c r="ET22" s="55"/>
      <c r="EU22" s="55"/>
      <c r="EV22" s="55"/>
      <c r="EW22" s="55"/>
      <c r="EX22" s="55"/>
      <c r="EY22" s="55"/>
      <c r="EZ22" s="55"/>
      <c r="FA22" s="55"/>
      <c r="FB22" s="55"/>
      <c r="FC22" s="55"/>
      <c r="FD22" s="55"/>
      <c r="FE22" s="55"/>
      <c r="FF22" s="55"/>
      <c r="FG22" s="55"/>
      <c r="FH22" s="55"/>
      <c r="FI22" s="55"/>
      <c r="FJ22" s="55"/>
      <c r="FK22" s="55"/>
      <c r="FL22" s="55"/>
      <c r="FM22" s="55"/>
      <c r="FN22" s="55"/>
      <c r="FO22" s="55"/>
      <c r="FP22" s="55"/>
      <c r="FQ22" s="55"/>
      <c r="FR22" s="55"/>
      <c r="FS22" s="55"/>
      <c r="FT22" s="55"/>
      <c r="FU22" s="55"/>
      <c r="FV22" s="55"/>
      <c r="FW22" s="55"/>
    </row>
    <row r="23" spans="1:179" s="57" customFormat="1" ht="9.75" customHeight="1" x14ac:dyDescent="0.15">
      <c r="A23" s="468" t="s">
        <v>146</v>
      </c>
      <c r="B23" s="300">
        <v>0.1</v>
      </c>
      <c r="C23" s="214">
        <v>7.0000000000000007E-2</v>
      </c>
      <c r="D23" s="224"/>
      <c r="E23" s="225"/>
      <c r="F23" s="215">
        <v>0</v>
      </c>
      <c r="G23" s="216">
        <v>0</v>
      </c>
      <c r="H23" s="223">
        <v>0</v>
      </c>
      <c r="I23" s="223">
        <v>0</v>
      </c>
      <c r="J23" s="217">
        <f t="shared" ref="J23:J29" si="97">SUM(AE23+AJ23+AO23+AT23)</f>
        <v>0</v>
      </c>
      <c r="K23" s="493">
        <f>SUM(IF((0*(IF(ISBLANK(E23),C23,E23)))+IF(ISBLANK(D23),B23,D23) &lt; 0, 0, (0*(IF(ISBLANK(E23),C23,E23)))+IF(ISBLANK(D23),B23,D23)))</f>
        <v>0.1</v>
      </c>
      <c r="L23" s="493">
        <f>SUM(IF((1*(IF(ISBLANK(E23),C23,E23)))+IF(ISBLANK(D23),B23,D23) &lt; 0, 0, (1*(IF(ISBLANK(E23),C23,E23)))+IF(ISBLANK(D23),B23,D23)))</f>
        <v>0.17</v>
      </c>
      <c r="M23" s="493">
        <f>SUM(IF((2*(IF(ISBLANK(E23),C23,E23)))+IF(ISBLANK(D23),B23,D23) &lt; 0, 0, (2*(IF(ISBLANK(E23),C23,E23)))+IF(ISBLANK(D23),B23,D23)))</f>
        <v>0.24000000000000002</v>
      </c>
      <c r="N23" s="493">
        <f>SUM(IF((3*(IF(ISBLANK(E23),C23,E23)))+IF(ISBLANK(D23),B23,D23) &lt; 0, 0, (3*(IF(ISBLANK(E23),C23,E23)))+IF(ISBLANK(D23),B23,D23)))</f>
        <v>0.31000000000000005</v>
      </c>
      <c r="O23" s="217">
        <f t="shared" si="91"/>
        <v>684304.07032878185</v>
      </c>
      <c r="P23" s="493">
        <f>SUM(IF((4*(IF(ISBLANK(E23),C23,E23)))+IF(ISBLANK(D23),B23,D23) &lt; 0, 0, (4*(IF(ISBLANK(E23),C23,E23)))+IF(ISBLANK(D23),B23,D23)))</f>
        <v>0.38</v>
      </c>
      <c r="Q23" s="493">
        <f>SUM(IF((5*(IF(ISBLANK(E23),C23,E23)))+IF(ISBLANK(D23),B23,D23) &lt; 0, 0, (5*(IF(ISBLANK(E23),C23,E23)))+IF(ISBLANK(D23),B23,D23)))</f>
        <v>0.45000000000000007</v>
      </c>
      <c r="R23" s="493">
        <f>SUM(IF((6*(IF(ISBLANK(E23),C23,E23)))+IF(ISBLANK(D23),B23,D23) &lt; 0, 0, (6*(IF(ISBLANK(E23),C23,E23)))+IF(ISBLANK(D23),B23,D23)))</f>
        <v>0.52</v>
      </c>
      <c r="S23" s="493">
        <f>SUM(IF((7*(IF(ISBLANK(E23),C23,E23)))+IF(ISBLANK(D23),B23,D23) &lt; 0, 0, (7*(IF(ISBLANK(E23),C23,E23)))+IF(ISBLANK(D23),B23,D23)))</f>
        <v>0.59000000000000008</v>
      </c>
      <c r="T23" s="218">
        <f t="shared" si="96"/>
        <v>12553056.472866386</v>
      </c>
      <c r="U23" s="247"/>
      <c r="V23" s="213">
        <f>SUM(IF((9*(IF(ISBLANK(E23),C23,E23)))+IF(ISBLANK(D23),B23,D23) &lt; 0, 0, (9*(IF(ISBLANK(E23),C23,E23)))+IF(ISBLANK(D23),B23,D23)))*12</f>
        <v>8.7600000000000016</v>
      </c>
      <c r="W23" s="219">
        <f>SUM(IF((11*(IF(ISBLANK(E23),C23,E23)))+IF(ISBLANK(D23),B23,D23) &lt; 0, 0, (11*(IF(ISBLANK(E23),C23,E23)))+IF(ISBLANK(D23),B23,D23)))*12</f>
        <v>10.44</v>
      </c>
      <c r="X23" s="220">
        <f>SUM(IF((13*(IF(ISBLANK(E23),C23,E23)))+IF(ISBLANK(D23),B23,D23) &lt; 0, 0, (13*(IF(ISBLANK(E23),C23,E23)))+IF(ISBLANK(D23),B23,D23)))*12</f>
        <v>12.120000000000003</v>
      </c>
      <c r="Y23" s="221"/>
      <c r="Z23" s="578">
        <v>0</v>
      </c>
      <c r="AA23" s="617"/>
      <c r="AB23" s="532">
        <f>SUM(AB18*F23)</f>
        <v>0</v>
      </c>
      <c r="AC23" s="492">
        <f>SUM(AC18*F23)</f>
        <v>0</v>
      </c>
      <c r="AD23" s="492">
        <f>SUM(AD18*F23)</f>
        <v>0</v>
      </c>
      <c r="AE23" s="492">
        <f t="shared" si="70"/>
        <v>0</v>
      </c>
      <c r="AF23" s="222"/>
      <c r="AG23" s="532">
        <f>SUM(AG18*G23)</f>
        <v>0</v>
      </c>
      <c r="AH23" s="492">
        <f>SUM(AH18*G23)</f>
        <v>0</v>
      </c>
      <c r="AI23" s="492">
        <f>SUM(AI18*G23)</f>
        <v>0</v>
      </c>
      <c r="AJ23" s="492">
        <f t="shared" si="71"/>
        <v>0</v>
      </c>
      <c r="AK23" s="222"/>
      <c r="AL23" s="532">
        <f t="shared" si="72"/>
        <v>0</v>
      </c>
      <c r="AM23" s="492">
        <f t="shared" si="73"/>
        <v>0</v>
      </c>
      <c r="AN23" s="492">
        <f t="shared" si="74"/>
        <v>0</v>
      </c>
      <c r="AO23" s="492">
        <f t="shared" si="75"/>
        <v>0</v>
      </c>
      <c r="AP23" s="222"/>
      <c r="AQ23" s="532">
        <f>SUM(AQ18*I23)</f>
        <v>0</v>
      </c>
      <c r="AR23" s="492">
        <f>SUM(AR18*I23)</f>
        <v>0</v>
      </c>
      <c r="AS23" s="492">
        <f>SUM(AS18*I23)</f>
        <v>0</v>
      </c>
      <c r="AT23" s="492">
        <f t="shared" si="76"/>
        <v>0</v>
      </c>
      <c r="AU23" s="222"/>
      <c r="AV23" s="617"/>
      <c r="AW23" s="532">
        <f>SUM(AW18*K23)</f>
        <v>8483.3292363622513</v>
      </c>
      <c r="AX23" s="492">
        <f>SUM(AX18*K23)</f>
        <v>10118.465613087201</v>
      </c>
      <c r="AY23" s="492">
        <f>SUM(AY18*K23)</f>
        <v>11851.703135999138</v>
      </c>
      <c r="AZ23" s="492">
        <f t="shared" si="77"/>
        <v>30453.49798544859</v>
      </c>
      <c r="BA23" s="222"/>
      <c r="BB23" s="532">
        <f>SUM(BB18*L23)</f>
        <v>23879.515079538374</v>
      </c>
      <c r="BC23" s="492">
        <f>SUM(BC18*L23)</f>
        <v>27741.719553465533</v>
      </c>
      <c r="BD23" s="492">
        <f>SUM(BD18*L23)</f>
        <v>31739.078449708712</v>
      </c>
      <c r="BE23" s="492">
        <f t="shared" si="78"/>
        <v>83360.313082712615</v>
      </c>
      <c r="BF23" s="222"/>
      <c r="BG23" s="532">
        <f>SUM(BG18*M23)</f>
        <v>53055.063682629632</v>
      </c>
      <c r="BH23" s="492">
        <f>SUM(BH18*M23)</f>
        <v>61565.850332782844</v>
      </c>
      <c r="BI23" s="492">
        <f>SUM(BI18*M23)</f>
        <v>70348.91118184611</v>
      </c>
      <c r="BJ23" s="492">
        <f t="shared" si="79"/>
        <v>184969.82519725859</v>
      </c>
      <c r="BK23" s="222"/>
      <c r="BL23" s="532">
        <f>SUM(BL18*N23)</f>
        <v>109254.44345124722</v>
      </c>
      <c r="BM23" s="492">
        <f>SUM(BM18*N23)</f>
        <v>128284.86721892326</v>
      </c>
      <c r="BN23" s="492">
        <f>SUM(BN18*N23)</f>
        <v>147981.12339319166</v>
      </c>
      <c r="BO23" s="492">
        <f t="shared" si="80"/>
        <v>385520.43406336213</v>
      </c>
      <c r="BP23" s="222"/>
      <c r="BQ23" s="221"/>
      <c r="BR23" s="532">
        <f>SUM(BR18*P23)</f>
        <v>220697.88442039938</v>
      </c>
      <c r="BS23" s="492">
        <f>SUM(BS18*P23)</f>
        <v>261492.29105240773</v>
      </c>
      <c r="BT23" s="492">
        <f>SUM(BT18*P23)</f>
        <v>303836.13215896348</v>
      </c>
      <c r="BU23" s="492">
        <f t="shared" si="81"/>
        <v>786026.30763177061</v>
      </c>
      <c r="BV23" s="222"/>
      <c r="BW23" s="532">
        <f>SUM(BW18*Q23)</f>
        <v>443295.79859937081</v>
      </c>
      <c r="BX23" s="492">
        <f>SUM(BX18*Q23)</f>
        <v>530206.35421883676</v>
      </c>
      <c r="BY23" s="492">
        <f>SUM(BY18*Q23)</f>
        <v>620677.76410758181</v>
      </c>
      <c r="BZ23" s="492">
        <f t="shared" si="82"/>
        <v>1594179.9169257893</v>
      </c>
      <c r="CA23" s="222"/>
      <c r="CB23" s="532">
        <f>SUM(CB18*R23)</f>
        <v>900849.16811076493</v>
      </c>
      <c r="CC23" s="492">
        <f>SUM(CC18*R23)</f>
        <v>1092541.771635727</v>
      </c>
      <c r="CD23" s="492">
        <f>SUM(CD18*R23)</f>
        <v>1292660.2126972822</v>
      </c>
      <c r="CE23" s="492">
        <f t="shared" si="83"/>
        <v>3286051.152443774</v>
      </c>
      <c r="CF23" s="222"/>
      <c r="CG23" s="532">
        <f>SUM(CG18*S23)</f>
        <v>1868420.1341135565</v>
      </c>
      <c r="CH23" s="492">
        <f>SUM(CH18*S23)</f>
        <v>2289020.6303187204</v>
      </c>
      <c r="CI23" s="492">
        <f>SUM(CI18*S23)</f>
        <v>2729358.3314327761</v>
      </c>
      <c r="CJ23" s="492">
        <f t="shared" si="84"/>
        <v>6886799.0958650522</v>
      </c>
      <c r="CK23" s="222"/>
      <c r="CL23" s="55"/>
      <c r="CM23" s="55"/>
      <c r="CN23" s="55"/>
      <c r="CO23" s="55"/>
      <c r="CP23" s="55"/>
      <c r="CQ23" s="55"/>
      <c r="CR23" s="55"/>
      <c r="CS23" s="55"/>
      <c r="CT23" s="55"/>
      <c r="CU23" s="55"/>
      <c r="CV23" s="55"/>
      <c r="CW23" s="55"/>
      <c r="CX23" s="55"/>
      <c r="CY23" s="55"/>
      <c r="CZ23" s="55"/>
      <c r="DA23" s="55"/>
      <c r="DB23" s="55"/>
      <c r="DC23" s="55"/>
      <c r="DD23" s="55"/>
      <c r="DE23" s="55"/>
      <c r="DF23" s="55"/>
      <c r="DG23" s="55"/>
      <c r="DH23" s="55"/>
      <c r="DI23" s="55"/>
      <c r="DJ23" s="55"/>
      <c r="DK23" s="55"/>
      <c r="DL23" s="55"/>
      <c r="DM23" s="55"/>
      <c r="DN23" s="55"/>
      <c r="DO23" s="55"/>
      <c r="DP23" s="55"/>
      <c r="DQ23" s="55"/>
      <c r="DR23" s="55"/>
      <c r="DS23" s="55"/>
      <c r="DT23" s="55"/>
      <c r="DU23" s="55"/>
      <c r="DV23" s="55"/>
      <c r="DW23" s="55"/>
      <c r="DX23" s="55"/>
      <c r="DY23" s="55"/>
      <c r="DZ23" s="55"/>
      <c r="EA23" s="55"/>
      <c r="EB23" s="55"/>
      <c r="EC23" s="55"/>
      <c r="ED23" s="55"/>
      <c r="EE23" s="55"/>
      <c r="EF23" s="55"/>
      <c r="EG23" s="55"/>
      <c r="EH23" s="55"/>
      <c r="EI23" s="55"/>
      <c r="EJ23" s="55"/>
      <c r="EK23" s="55"/>
      <c r="EL23" s="55"/>
      <c r="EM23" s="55"/>
      <c r="EN23" s="55"/>
      <c r="EO23" s="55"/>
      <c r="EP23" s="55"/>
      <c r="EQ23" s="55"/>
      <c r="ER23" s="55"/>
      <c r="ES23" s="55"/>
      <c r="ET23" s="55"/>
      <c r="EU23" s="55"/>
      <c r="EV23" s="55"/>
      <c r="EW23" s="55"/>
      <c r="EX23" s="55"/>
      <c r="EY23" s="55"/>
      <c r="EZ23" s="55"/>
      <c r="FA23" s="55"/>
      <c r="FB23" s="55"/>
      <c r="FC23" s="55"/>
      <c r="FD23" s="55"/>
      <c r="FE23" s="55"/>
      <c r="FF23" s="55"/>
      <c r="FG23" s="55"/>
      <c r="FH23" s="55"/>
      <c r="FI23" s="55"/>
      <c r="FJ23" s="55"/>
      <c r="FK23" s="55"/>
      <c r="FL23" s="55"/>
      <c r="FM23" s="55"/>
      <c r="FN23" s="55"/>
      <c r="FO23" s="55"/>
      <c r="FP23" s="55"/>
      <c r="FQ23" s="55"/>
      <c r="FR23" s="55"/>
      <c r="FS23" s="55"/>
      <c r="FT23" s="55"/>
      <c r="FU23" s="55"/>
      <c r="FV23" s="55"/>
      <c r="FW23" s="55"/>
    </row>
    <row r="24" spans="1:179" s="57" customFormat="1" ht="9.75" customHeight="1" x14ac:dyDescent="0.15">
      <c r="A24" s="468" t="s">
        <v>147</v>
      </c>
      <c r="B24" s="300">
        <v>0.05</v>
      </c>
      <c r="C24" s="214">
        <v>0.1</v>
      </c>
      <c r="D24" s="224"/>
      <c r="E24" s="225"/>
      <c r="F24" s="215">
        <v>0</v>
      </c>
      <c r="G24" s="216">
        <v>0</v>
      </c>
      <c r="H24" s="223">
        <v>0</v>
      </c>
      <c r="I24" s="223">
        <v>0</v>
      </c>
      <c r="J24" s="217">
        <f t="shared" si="97"/>
        <v>0</v>
      </c>
      <c r="K24" s="493">
        <f>SUM(IF((0*(IF(ISBLANK(E24),C24,E24)))+IF(ISBLANK(D24),B24,D24) &lt; 0, 0, (0*(IF(ISBLANK(E24),C24,E24)))+IF(ISBLANK(D24),B24,D24)))</f>
        <v>0.05</v>
      </c>
      <c r="L24" s="493">
        <f>SUM(IF((1*(IF(ISBLANK(E24),C24,E24)))+IF(ISBLANK(D24),B24,D24) &lt; 0, 0, (1*(IF(ISBLANK(E24),C24,E24)))+IF(ISBLANK(D24),B24,D24)))</f>
        <v>0.15000000000000002</v>
      </c>
      <c r="M24" s="493">
        <f>SUM(IF((2*(IF(ISBLANK(E24),C24,E24)))+IF(ISBLANK(D24),B24,D24) &lt; 0, 0, (2*(IF(ISBLANK(E24),C24,E24)))+IF(ISBLANK(D24),B24,D24)))</f>
        <v>0.25</v>
      </c>
      <c r="N24" s="493">
        <f>SUM(IF((3*(IF(ISBLANK(E24),C24,E24)))+IF(ISBLANK(D24),B24,D24) &lt; 0, 0, (3*(IF(ISBLANK(E24),C24,E24)))+IF(ISBLANK(D24),B24,D24)))</f>
        <v>0.35000000000000003</v>
      </c>
      <c r="O24" s="217">
        <f t="shared" si="91"/>
        <v>716721.87386636168</v>
      </c>
      <c r="P24" s="493">
        <f>SUM(IF((4*(IF(ISBLANK(E24),C24,E24)))+IF(ISBLANK(D24),B24,D24) &lt; 0, 0, (4*(IF(ISBLANK(E24),C24,E24)))+IF(ISBLANK(D24),B24,D24)))</f>
        <v>0.45</v>
      </c>
      <c r="Q24" s="493">
        <f>SUM(IF((5*(IF(ISBLANK(E24),C24,E24)))+IF(ISBLANK(D24),B24,D24) &lt; 0, 0, (5*(IF(ISBLANK(E24),C24,E24)))+IF(ISBLANK(D24),B24,D24)))</f>
        <v>0.55000000000000004</v>
      </c>
      <c r="R24" s="493">
        <f>SUM(IF((6*(IF(ISBLANK(E24),C24,E24)))+IF(ISBLANK(D24),B24,D24) &lt; 0, 0, (6*(IF(ISBLANK(E24),C24,E24)))+IF(ISBLANK(D24),B24,D24)))</f>
        <v>0.65000000000000013</v>
      </c>
      <c r="S24" s="493">
        <f>SUM(IF((7*(IF(ISBLANK(E24),C24,E24)))+IF(ISBLANK(D24),B24,D24) &lt; 0, 0, (7*(IF(ISBLANK(E24),C24,E24)))+IF(ISBLANK(D24),B24,D24)))</f>
        <v>0.75000000000000011</v>
      </c>
      <c r="T24" s="218">
        <f t="shared" si="96"/>
        <v>15741232.319037404</v>
      </c>
      <c r="U24" s="247"/>
      <c r="V24" s="213">
        <f>SUM(IF((9*(IF(ISBLANK(E24),C24,E24)))+IF(ISBLANK(D24),B24,D24) &lt; 0, 0, (9*(IF(ISBLANK(E24),C24,E24)))+IF(ISBLANK(D24),B24,D24)))*12</f>
        <v>11.4</v>
      </c>
      <c r="W24" s="219">
        <f>SUM(IF((11*(IF(ISBLANK(E24),C24,E24)))+IF(ISBLANK(D24),B24,D24) &lt; 0, 0, (11*(IF(ISBLANK(E24),C24,E24)))+IF(ISBLANK(D24),B24,D24)))*12</f>
        <v>13.8</v>
      </c>
      <c r="X24" s="220">
        <f>SUM(IF((13*(IF(ISBLANK(E24),C24,E24)))+IF(ISBLANK(D24),B24,D24) &lt; 0, 0, (13*(IF(ISBLANK(E24),C24,E24)))+IF(ISBLANK(D24),B24,D24)))*12</f>
        <v>16.200000000000003</v>
      </c>
      <c r="Y24" s="221"/>
      <c r="Z24" s="578">
        <v>0</v>
      </c>
      <c r="AA24" s="617"/>
      <c r="AB24" s="532">
        <f>SUM(AB18*F24)</f>
        <v>0</v>
      </c>
      <c r="AC24" s="492">
        <f>SUM(AC18*F24)</f>
        <v>0</v>
      </c>
      <c r="AD24" s="492">
        <f>SUM(AD18*F24)</f>
        <v>0</v>
      </c>
      <c r="AE24" s="492">
        <f t="shared" si="70"/>
        <v>0</v>
      </c>
      <c r="AF24" s="222"/>
      <c r="AG24" s="532">
        <f>SUM(AG18*G24)</f>
        <v>0</v>
      </c>
      <c r="AH24" s="492">
        <f>SUM(AH18*G24)</f>
        <v>0</v>
      </c>
      <c r="AI24" s="492">
        <f>SUM(AI18*G24)</f>
        <v>0</v>
      </c>
      <c r="AJ24" s="492">
        <f t="shared" si="71"/>
        <v>0</v>
      </c>
      <c r="AK24" s="222"/>
      <c r="AL24" s="532">
        <f t="shared" si="72"/>
        <v>0</v>
      </c>
      <c r="AM24" s="492">
        <f t="shared" si="73"/>
        <v>0</v>
      </c>
      <c r="AN24" s="492">
        <f t="shared" si="74"/>
        <v>0</v>
      </c>
      <c r="AO24" s="492">
        <f t="shared" si="75"/>
        <v>0</v>
      </c>
      <c r="AP24" s="222"/>
      <c r="AQ24" s="532">
        <f>SUM(AQ18*I24)</f>
        <v>0</v>
      </c>
      <c r="AR24" s="492">
        <f>SUM(AR18*I24)</f>
        <v>0</v>
      </c>
      <c r="AS24" s="492">
        <f>SUM(AS18*I24)</f>
        <v>0</v>
      </c>
      <c r="AT24" s="492">
        <f t="shared" si="76"/>
        <v>0</v>
      </c>
      <c r="AU24" s="222"/>
      <c r="AV24" s="617"/>
      <c r="AW24" s="532">
        <f>SUM(AW18*K24)</f>
        <v>4241.6646181811257</v>
      </c>
      <c r="AX24" s="492">
        <f>SUM(AX18*K24)</f>
        <v>5059.2328065436004</v>
      </c>
      <c r="AY24" s="492">
        <f>SUM(AY18*K24)</f>
        <v>5925.8515679995689</v>
      </c>
      <c r="AZ24" s="492">
        <f t="shared" si="77"/>
        <v>15226.748992724295</v>
      </c>
      <c r="BA24" s="222"/>
      <c r="BB24" s="532">
        <f>SUM(BB18*L24)</f>
        <v>21070.160364298565</v>
      </c>
      <c r="BC24" s="492">
        <f>SUM(BC18*L24)</f>
        <v>24477.987841293121</v>
      </c>
      <c r="BD24" s="492">
        <f>SUM(BD18*L24)</f>
        <v>28005.069220331221</v>
      </c>
      <c r="BE24" s="492">
        <f t="shared" si="78"/>
        <v>73553.217425922907</v>
      </c>
      <c r="BF24" s="222"/>
      <c r="BG24" s="532">
        <f>SUM(BG18*M24)</f>
        <v>55265.69133607253</v>
      </c>
      <c r="BH24" s="492">
        <f>SUM(BH18*M24)</f>
        <v>64131.094096648791</v>
      </c>
      <c r="BI24" s="492">
        <f>SUM(BI18*M24)</f>
        <v>73280.115814423028</v>
      </c>
      <c r="BJ24" s="492">
        <f t="shared" si="79"/>
        <v>192676.90124714433</v>
      </c>
      <c r="BK24" s="222"/>
      <c r="BL24" s="532">
        <f>SUM(BL18*N24)</f>
        <v>123351.79099334363</v>
      </c>
      <c r="BM24" s="492">
        <f>SUM(BM18*N24)</f>
        <v>144837.75331168753</v>
      </c>
      <c r="BN24" s="492">
        <f>SUM(BN18*N24)</f>
        <v>167075.46189553896</v>
      </c>
      <c r="BO24" s="492">
        <f t="shared" si="80"/>
        <v>435265.00620057015</v>
      </c>
      <c r="BP24" s="222"/>
      <c r="BQ24" s="221"/>
      <c r="BR24" s="532">
        <f>SUM(BR18*P24)</f>
        <v>261352.75786626243</v>
      </c>
      <c r="BS24" s="492">
        <f>SUM(BS18*P24)</f>
        <v>309661.9236146934</v>
      </c>
      <c r="BT24" s="492">
        <f>SUM(BT18*P24)</f>
        <v>359805.94597771991</v>
      </c>
      <c r="BU24" s="492">
        <f t="shared" si="81"/>
        <v>930820.62745867576</v>
      </c>
      <c r="BV24" s="222"/>
      <c r="BW24" s="532">
        <f>SUM(BW18*Q24)</f>
        <v>541805.97606589762</v>
      </c>
      <c r="BX24" s="492">
        <f>SUM(BX18*Q24)</f>
        <v>648029.98848968931</v>
      </c>
      <c r="BY24" s="492">
        <f>SUM(BY18*Q24)</f>
        <v>758606.15613148885</v>
      </c>
      <c r="BZ24" s="492">
        <f t="shared" si="82"/>
        <v>1948442.1206870759</v>
      </c>
      <c r="CA24" s="222"/>
      <c r="CB24" s="532">
        <f>SUM(CB18*R24)</f>
        <v>1126061.4601384564</v>
      </c>
      <c r="CC24" s="492">
        <f>SUM(CC18*R24)</f>
        <v>1365677.214544659</v>
      </c>
      <c r="CD24" s="492">
        <f>SUM(CD18*R24)</f>
        <v>1615825.265871603</v>
      </c>
      <c r="CE24" s="492">
        <f t="shared" si="83"/>
        <v>4107563.9405547185</v>
      </c>
      <c r="CF24" s="222"/>
      <c r="CG24" s="532">
        <f>SUM(CG18*S24)</f>
        <v>2375110.3399748597</v>
      </c>
      <c r="CH24" s="492">
        <f>SUM(CH18*S24)</f>
        <v>2909771.9876932888</v>
      </c>
      <c r="CI24" s="492">
        <f>SUM(CI18*S24)</f>
        <v>3469523.3026687829</v>
      </c>
      <c r="CJ24" s="492">
        <f t="shared" si="84"/>
        <v>8754405.6303369328</v>
      </c>
      <c r="CK24" s="222"/>
      <c r="CL24" s="55"/>
      <c r="CM24" s="55"/>
      <c r="CN24" s="55"/>
      <c r="CO24" s="55"/>
      <c r="CP24" s="55"/>
      <c r="CQ24" s="55"/>
      <c r="CR24" s="55"/>
      <c r="CS24" s="55"/>
      <c r="CT24" s="55"/>
      <c r="CU24" s="55"/>
      <c r="CV24" s="55"/>
      <c r="CW24" s="55"/>
      <c r="CX24" s="55"/>
      <c r="CY24" s="55"/>
      <c r="CZ24" s="55"/>
      <c r="DA24" s="55"/>
      <c r="DB24" s="55"/>
      <c r="DC24" s="55"/>
      <c r="DD24" s="55"/>
      <c r="DE24" s="55"/>
      <c r="DF24" s="55"/>
      <c r="DG24" s="55"/>
      <c r="DH24" s="55"/>
      <c r="DI24" s="55"/>
      <c r="DJ24" s="55"/>
      <c r="DK24" s="55"/>
      <c r="DL24" s="55"/>
      <c r="DM24" s="55"/>
      <c r="DN24" s="55"/>
      <c r="DO24" s="55"/>
      <c r="DP24" s="55"/>
      <c r="DQ24" s="55"/>
      <c r="DR24" s="55"/>
      <c r="DS24" s="55"/>
      <c r="DT24" s="55"/>
      <c r="DU24" s="55"/>
      <c r="DV24" s="55"/>
      <c r="DW24" s="55"/>
      <c r="DX24" s="55"/>
      <c r="DY24" s="55"/>
      <c r="DZ24" s="55"/>
      <c r="EA24" s="55"/>
      <c r="EB24" s="55"/>
      <c r="EC24" s="55"/>
      <c r="ED24" s="55"/>
      <c r="EE24" s="55"/>
      <c r="EF24" s="55"/>
      <c r="EG24" s="55"/>
      <c r="EH24" s="55"/>
      <c r="EI24" s="55"/>
      <c r="EJ24" s="55"/>
      <c r="EK24" s="55"/>
      <c r="EL24" s="55"/>
      <c r="EM24" s="55"/>
      <c r="EN24" s="55"/>
      <c r="EO24" s="55"/>
      <c r="EP24" s="55"/>
      <c r="EQ24" s="55"/>
      <c r="ER24" s="55"/>
      <c r="ES24" s="55"/>
      <c r="ET24" s="55"/>
      <c r="EU24" s="55"/>
      <c r="EV24" s="55"/>
      <c r="EW24" s="55"/>
      <c r="EX24" s="55"/>
      <c r="EY24" s="55"/>
      <c r="EZ24" s="55"/>
      <c r="FA24" s="55"/>
      <c r="FB24" s="55"/>
      <c r="FC24" s="55"/>
      <c r="FD24" s="55"/>
      <c r="FE24" s="55"/>
      <c r="FF24" s="55"/>
      <c r="FG24" s="55"/>
      <c r="FH24" s="55"/>
      <c r="FI24" s="55"/>
      <c r="FJ24" s="55"/>
      <c r="FK24" s="55"/>
      <c r="FL24" s="55"/>
      <c r="FM24" s="55"/>
      <c r="FN24" s="55"/>
      <c r="FO24" s="55"/>
      <c r="FP24" s="55"/>
      <c r="FQ24" s="55"/>
      <c r="FR24" s="55"/>
      <c r="FS24" s="55"/>
      <c r="FT24" s="55"/>
      <c r="FU24" s="55"/>
      <c r="FV24" s="55"/>
      <c r="FW24" s="55"/>
    </row>
    <row r="25" spans="1:179" s="57" customFormat="1" ht="9.75" customHeight="1" x14ac:dyDescent="0.15">
      <c r="A25" s="468" t="s">
        <v>148</v>
      </c>
      <c r="B25" s="300">
        <v>0.1</v>
      </c>
      <c r="C25" s="299">
        <v>0.05</v>
      </c>
      <c r="D25" s="224"/>
      <c r="E25" s="225"/>
      <c r="F25" s="215">
        <v>0</v>
      </c>
      <c r="G25" s="216">
        <v>0</v>
      </c>
      <c r="H25" s="223">
        <v>0</v>
      </c>
      <c r="I25" s="223">
        <v>0</v>
      </c>
      <c r="J25" s="217">
        <f t="shared" si="97"/>
        <v>0</v>
      </c>
      <c r="K25" s="493">
        <f>SUM(IF((0*(IF(ISBLANK(E25),C25,E25)))+IF(ISBLANK(D25),B25,D25) &lt; 0, 0, (0*(IF(ISBLANK(E25),C25,E25)))+IF(ISBLANK(D25),B25,D25)))</f>
        <v>0.1</v>
      </c>
      <c r="L25" s="493">
        <f>SUM(IF((1*(IF(ISBLANK(E25),C25,E25)))+IF(ISBLANK(D25),B25,D25) &lt; 0, 0, (1*(IF(ISBLANK(E25),C25,E25)))+IF(ISBLANK(D25),B25,D25)))</f>
        <v>0.15000000000000002</v>
      </c>
      <c r="M25" s="493">
        <f>SUM(IF((2*(IF(ISBLANK(E25),C25,E25)))+IF(ISBLANK(D25),B25,D25) &lt; 0, 0, (2*(IF(ISBLANK(E25),C25,E25)))+IF(ISBLANK(D25),B25,D25)))</f>
        <v>0.2</v>
      </c>
      <c r="N25" s="493">
        <f>SUM(IF((3*(IF(ISBLANK(E25),C25,E25)))+IF(ISBLANK(D25),B25,D25) &lt; 0, 0, (3*(IF(ISBLANK(E25),C25,E25)))+IF(ISBLANK(D25),B25,D25)))</f>
        <v>0.25</v>
      </c>
      <c r="O25" s="217">
        <f t="shared" si="91"/>
        <v>569051.81226663711</v>
      </c>
      <c r="P25" s="493">
        <f>SUM(IF((4*(IF(ISBLANK(E25),C25,E25)))+IF(ISBLANK(D25),B25,D25) &lt; 0, 0, (4*(IF(ISBLANK(E25),C25,E25)))+IF(ISBLANK(D25),B25,D25)))</f>
        <v>0.30000000000000004</v>
      </c>
      <c r="Q25" s="493">
        <f>SUM(IF((5*(IF(ISBLANK(E25),C25,E25)))+IF(ISBLANK(D25),B25,D25) &lt; 0, 0, (5*(IF(ISBLANK(E25),C25,E25)))+IF(ISBLANK(D25),B25,D25)))</f>
        <v>0.35</v>
      </c>
      <c r="R25" s="493">
        <f>SUM(IF((6*(IF(ISBLANK(E25),C25,E25)))+IF(ISBLANK(D25),B25,D25) &lt; 0, 0, (6*(IF(ISBLANK(E25),C25,E25)))+IF(ISBLANK(D25),B25,D25)))</f>
        <v>0.4</v>
      </c>
      <c r="S25" s="493">
        <f>SUM(IF((7*(IF(ISBLANK(E25),C25,E25)))+IF(ISBLANK(D25),B25,D25) &lt; 0, 0, (7*(IF(ISBLANK(E25),C25,E25)))+IF(ISBLANK(D25),B25,D25)))</f>
        <v>0.45000000000000007</v>
      </c>
      <c r="T25" s="218">
        <f t="shared" si="96"/>
        <v>9640839.8320650924</v>
      </c>
      <c r="U25" s="247"/>
      <c r="V25" s="213">
        <f>SUM(IF((9*(IF(ISBLANK(E25),C25,E25)))+IF(ISBLANK(D25),B25,D25) &lt; 0, 0, (9*(IF(ISBLANK(E25),C25,E25)))+IF(ISBLANK(D25),B25,D25)))*12</f>
        <v>6.6000000000000005</v>
      </c>
      <c r="W25" s="219">
        <f>SUM(IF((11*(IF(ISBLANK(E25),C25,E25)))+IF(ISBLANK(D25),B25,D25) &lt; 0, 0, (11*(IF(ISBLANK(E25),C25,E25)))+IF(ISBLANK(D25),B25,D25)))*12</f>
        <v>7.8000000000000007</v>
      </c>
      <c r="X25" s="220">
        <f>SUM(IF((13*(IF(ISBLANK(E25),C25,E25)))+IF(ISBLANK(D25),B25,D25) &lt; 0, 0, (13*(IF(ISBLANK(E25),C25,E25)))+IF(ISBLANK(D25),B25,D25)))*12</f>
        <v>9</v>
      </c>
      <c r="Y25" s="221"/>
      <c r="Z25" s="578">
        <v>0</v>
      </c>
      <c r="AA25" s="617"/>
      <c r="AB25" s="532">
        <f>SUM(AB18*F25)</f>
        <v>0</v>
      </c>
      <c r="AC25" s="492">
        <f>SUM(AC18*F25)</f>
        <v>0</v>
      </c>
      <c r="AD25" s="492">
        <f>SUM(AD18*F25)</f>
        <v>0</v>
      </c>
      <c r="AE25" s="492">
        <f t="shared" si="70"/>
        <v>0</v>
      </c>
      <c r="AF25" s="222"/>
      <c r="AG25" s="532">
        <f>SUM(AG18*G25)</f>
        <v>0</v>
      </c>
      <c r="AH25" s="492">
        <f>SUM(AH18*G25)</f>
        <v>0</v>
      </c>
      <c r="AI25" s="492">
        <f>SUM(AI18*G25)</f>
        <v>0</v>
      </c>
      <c r="AJ25" s="492">
        <f t="shared" si="71"/>
        <v>0</v>
      </c>
      <c r="AK25" s="222"/>
      <c r="AL25" s="532">
        <f t="shared" si="72"/>
        <v>0</v>
      </c>
      <c r="AM25" s="492">
        <f t="shared" si="73"/>
        <v>0</v>
      </c>
      <c r="AN25" s="492">
        <f t="shared" si="74"/>
        <v>0</v>
      </c>
      <c r="AO25" s="492">
        <f t="shared" si="75"/>
        <v>0</v>
      </c>
      <c r="AP25" s="222"/>
      <c r="AQ25" s="532">
        <f>SUM(AQ18*I25)</f>
        <v>0</v>
      </c>
      <c r="AR25" s="492">
        <f>SUM(AR18*I25)</f>
        <v>0</v>
      </c>
      <c r="AS25" s="492">
        <f>SUM(AS18*I25)</f>
        <v>0</v>
      </c>
      <c r="AT25" s="492">
        <f t="shared" si="76"/>
        <v>0</v>
      </c>
      <c r="AU25" s="222"/>
      <c r="AV25" s="617"/>
      <c r="AW25" s="532">
        <f>SUM(AW18*K25)</f>
        <v>8483.3292363622513</v>
      </c>
      <c r="AX25" s="492">
        <f>SUM(AX18*K25)</f>
        <v>10118.465613087201</v>
      </c>
      <c r="AY25" s="492">
        <f>SUM(AY18*K25)</f>
        <v>11851.703135999138</v>
      </c>
      <c r="AZ25" s="492">
        <f t="shared" si="77"/>
        <v>30453.49798544859</v>
      </c>
      <c r="BA25" s="222"/>
      <c r="BB25" s="532">
        <f>SUM(BB18*L25)</f>
        <v>21070.160364298565</v>
      </c>
      <c r="BC25" s="492">
        <f>SUM(BC18*L25)</f>
        <v>24477.987841293121</v>
      </c>
      <c r="BD25" s="492">
        <f>SUM(BD18*L25)</f>
        <v>28005.069220331221</v>
      </c>
      <c r="BE25" s="492">
        <f t="shared" si="78"/>
        <v>73553.217425922907</v>
      </c>
      <c r="BF25" s="222"/>
      <c r="BG25" s="532">
        <f>SUM(BG18*M25)</f>
        <v>44212.553068858026</v>
      </c>
      <c r="BH25" s="492">
        <f>SUM(BH18*M25)</f>
        <v>51304.875277319035</v>
      </c>
      <c r="BI25" s="492">
        <f>SUM(BI18*M25)</f>
        <v>58624.092651538427</v>
      </c>
      <c r="BJ25" s="492">
        <f t="shared" si="79"/>
        <v>154141.5209977155</v>
      </c>
      <c r="BK25" s="222"/>
      <c r="BL25" s="532">
        <f>SUM(BL18*N25)</f>
        <v>88108.422138102585</v>
      </c>
      <c r="BM25" s="492">
        <f>SUM(BM18*N25)</f>
        <v>103455.5380797768</v>
      </c>
      <c r="BN25" s="492">
        <f>SUM(BN18*N25)</f>
        <v>119339.61563967068</v>
      </c>
      <c r="BO25" s="492">
        <f t="shared" si="80"/>
        <v>310903.57585755008</v>
      </c>
      <c r="BP25" s="222"/>
      <c r="BQ25" s="221"/>
      <c r="BR25" s="532">
        <f>SUM(BR18*P25)</f>
        <v>174235.17191084163</v>
      </c>
      <c r="BS25" s="492">
        <f>SUM(BS18*P25)</f>
        <v>206441.28240979562</v>
      </c>
      <c r="BT25" s="492">
        <f>SUM(BT18*P25)</f>
        <v>239870.63065181329</v>
      </c>
      <c r="BU25" s="492">
        <f t="shared" si="81"/>
        <v>620547.08497245051</v>
      </c>
      <c r="BV25" s="222"/>
      <c r="BW25" s="532">
        <f>SUM(BW18*Q25)</f>
        <v>344785.62113284389</v>
      </c>
      <c r="BX25" s="492">
        <f>SUM(BX18*Q25)</f>
        <v>412382.71994798403</v>
      </c>
      <c r="BY25" s="492">
        <f>SUM(BY18*Q25)</f>
        <v>482749.37208367459</v>
      </c>
      <c r="BZ25" s="492">
        <f t="shared" si="82"/>
        <v>1239917.7131645025</v>
      </c>
      <c r="CA25" s="222"/>
      <c r="CB25" s="532">
        <f>SUM(CB18*R25)</f>
        <v>692960.89854674228</v>
      </c>
      <c r="CC25" s="492">
        <f>SUM(CC18*R25)</f>
        <v>840416.74741209764</v>
      </c>
      <c r="CD25" s="492">
        <f>SUM(CD18*R25)</f>
        <v>994354.00976714015</v>
      </c>
      <c r="CE25" s="492">
        <f t="shared" si="83"/>
        <v>2527731.6557259802</v>
      </c>
      <c r="CF25" s="222"/>
      <c r="CG25" s="532">
        <f>SUM(CG18*S25)</f>
        <v>1425066.203984916</v>
      </c>
      <c r="CH25" s="492">
        <f>SUM(CH18*S25)</f>
        <v>1745863.1926159733</v>
      </c>
      <c r="CI25" s="492">
        <f>SUM(CI18*S25)</f>
        <v>2081713.9816012697</v>
      </c>
      <c r="CJ25" s="492">
        <f t="shared" si="84"/>
        <v>5252643.378202159</v>
      </c>
      <c r="CK25" s="222"/>
      <c r="CL25" s="55"/>
      <c r="CM25" s="55"/>
      <c r="CN25" s="55"/>
      <c r="CO25" s="55"/>
      <c r="CP25" s="55"/>
      <c r="CQ25" s="55"/>
      <c r="CR25" s="55"/>
      <c r="CS25" s="55"/>
      <c r="CT25" s="55"/>
      <c r="CU25" s="55"/>
      <c r="CV25" s="55"/>
      <c r="CW25" s="55"/>
      <c r="CX25" s="55"/>
      <c r="CY25" s="55"/>
      <c r="CZ25" s="55"/>
      <c r="DA25" s="55"/>
      <c r="DB25" s="55"/>
      <c r="DC25" s="55"/>
      <c r="DD25" s="55"/>
      <c r="DE25" s="55"/>
      <c r="DF25" s="55"/>
      <c r="DG25" s="55"/>
      <c r="DH25" s="55"/>
      <c r="DI25" s="55"/>
      <c r="DJ25" s="55"/>
      <c r="DK25" s="55"/>
      <c r="DL25" s="55"/>
      <c r="DM25" s="55"/>
      <c r="DN25" s="55"/>
      <c r="DO25" s="55"/>
      <c r="DP25" s="55"/>
      <c r="DQ25" s="55"/>
      <c r="DR25" s="55"/>
      <c r="DS25" s="55"/>
      <c r="DT25" s="55"/>
      <c r="DU25" s="55"/>
      <c r="DV25" s="55"/>
      <c r="DW25" s="55"/>
      <c r="DX25" s="55"/>
      <c r="DY25" s="55"/>
      <c r="DZ25" s="55"/>
      <c r="EA25" s="55"/>
      <c r="EB25" s="55"/>
      <c r="EC25" s="55"/>
      <c r="ED25" s="55"/>
      <c r="EE25" s="55"/>
      <c r="EF25" s="55"/>
      <c r="EG25" s="55"/>
      <c r="EH25" s="55"/>
      <c r="EI25" s="55"/>
      <c r="EJ25" s="55"/>
      <c r="EK25" s="55"/>
      <c r="EL25" s="55"/>
      <c r="EM25" s="55"/>
      <c r="EN25" s="55"/>
      <c r="EO25" s="55"/>
      <c r="EP25" s="55"/>
      <c r="EQ25" s="55"/>
      <c r="ER25" s="55"/>
      <c r="ES25" s="55"/>
      <c r="ET25" s="55"/>
      <c r="EU25" s="55"/>
      <c r="EV25" s="55"/>
      <c r="EW25" s="55"/>
      <c r="EX25" s="55"/>
      <c r="EY25" s="55"/>
      <c r="EZ25" s="55"/>
      <c r="FA25" s="55"/>
      <c r="FB25" s="55"/>
      <c r="FC25" s="55"/>
      <c r="FD25" s="55"/>
      <c r="FE25" s="55"/>
      <c r="FF25" s="55"/>
      <c r="FG25" s="55"/>
      <c r="FH25" s="55"/>
      <c r="FI25" s="55"/>
      <c r="FJ25" s="55"/>
      <c r="FK25" s="55"/>
      <c r="FL25" s="55"/>
      <c r="FM25" s="55"/>
      <c r="FN25" s="55"/>
      <c r="FO25" s="55"/>
      <c r="FP25" s="55"/>
      <c r="FQ25" s="55"/>
      <c r="FR25" s="55"/>
      <c r="FS25" s="55"/>
      <c r="FT25" s="55"/>
      <c r="FU25" s="55"/>
      <c r="FV25" s="55"/>
      <c r="FW25" s="55"/>
    </row>
    <row r="26" spans="1:179" s="57" customFormat="1" ht="9.75" customHeight="1" x14ac:dyDescent="0.15">
      <c r="A26" s="468" t="s">
        <v>149</v>
      </c>
      <c r="B26" s="213">
        <v>0.01</v>
      </c>
      <c r="C26" s="214">
        <v>0.02</v>
      </c>
      <c r="D26" s="224"/>
      <c r="E26" s="225"/>
      <c r="F26" s="215">
        <v>0</v>
      </c>
      <c r="G26" s="216">
        <v>0</v>
      </c>
      <c r="H26" s="223">
        <v>0</v>
      </c>
      <c r="I26" s="223">
        <v>0</v>
      </c>
      <c r="J26" s="217">
        <f t="shared" si="97"/>
        <v>0</v>
      </c>
      <c r="K26" s="493">
        <f>SUM(IF((0*(IF(ISBLANK(E26),C26,E26)))+IF(ISBLANK(D26),B26,D26) &lt; 0, 0, (0*(IF(ISBLANK(E26),C26,E26)))+IF(ISBLANK(D26),B26,D26)))</f>
        <v>0.01</v>
      </c>
      <c r="L26" s="493">
        <f>SUM(IF((1*(IF(ISBLANK(E26),C26,E26)))+IF(ISBLANK(D26),B26,D26) &lt; 0, 0, (1*(IF(ISBLANK(E26),C26,E26)))+IF(ISBLANK(D26),B26,D26)))</f>
        <v>0.03</v>
      </c>
      <c r="M26" s="493">
        <f>SUM(IF((2*(IF(ISBLANK(E26),C26,E26)))+IF(ISBLANK(D26),B26,D26) &lt; 0, 0, (2*(IF(ISBLANK(E26),C26,E26)))+IF(ISBLANK(D26),B26,D26)))</f>
        <v>0.05</v>
      </c>
      <c r="N26" s="493">
        <f>SUM(IF((3*(IF(ISBLANK(E26),C26,E26)))+IF(ISBLANK(D26),B26,D26) &lt; 0, 0, (3*(IF(ISBLANK(E26),C26,E26)))+IF(ISBLANK(D26),B26,D26)))</f>
        <v>6.9999999999999993E-2</v>
      </c>
      <c r="O26" s="217">
        <f t="shared" si="91"/>
        <v>143344.37477327231</v>
      </c>
      <c r="P26" s="493">
        <f>SUM(IF((4*(IF(ISBLANK(E26),C26,E26)))+IF(ISBLANK(D26),B26,D26) &lt; 0, 0, (4*(IF(ISBLANK(E26),C26,E26)))+IF(ISBLANK(D26),B26,D26)))</f>
        <v>0.09</v>
      </c>
      <c r="Q26" s="493">
        <f>SUM(IF((5*(IF(ISBLANK(E26),C26,E26)))+IF(ISBLANK(D26),B26,D26) &lt; 0, 0, (5*(IF(ISBLANK(E26),C26,E26)))+IF(ISBLANK(D26),B26,D26)))</f>
        <v>0.11</v>
      </c>
      <c r="R26" s="493">
        <f>SUM(IF((6*(IF(ISBLANK(E26),C26,E26)))+IF(ISBLANK(D26),B26,D26) &lt; 0, 0, (6*(IF(ISBLANK(E26),C26,E26)))+IF(ISBLANK(D26),B26,D26)))</f>
        <v>0.13</v>
      </c>
      <c r="S26" s="493">
        <f>SUM(IF((7*(IF(ISBLANK(E26),C26,E26)))+IF(ISBLANK(D26),B26,D26) &lt; 0, 0, (7*(IF(ISBLANK(E26),C26,E26)))+IF(ISBLANK(D26),B26,D26)))</f>
        <v>0.15000000000000002</v>
      </c>
      <c r="T26" s="218">
        <f t="shared" si="96"/>
        <v>3148246.4638074804</v>
      </c>
      <c r="U26" s="247"/>
      <c r="V26" s="213">
        <f>SUM(IF((9*(IF(ISBLANK(E26),C26,E26)))+IF(ISBLANK(D26),B26,D26) &lt; 0, 0, (9*(IF(ISBLANK(E26),C26,E26)))+IF(ISBLANK(D26),B26,D26)))*12</f>
        <v>2.2800000000000002</v>
      </c>
      <c r="W26" s="219">
        <f>SUM(IF((11*(IF(ISBLANK(E26),C26,E26)))+IF(ISBLANK(D26),B26,D26) &lt; 0, 0, (11*(IF(ISBLANK(E26),C26,E26)))+IF(ISBLANK(D26),B26,D26)))*12</f>
        <v>2.7600000000000002</v>
      </c>
      <c r="X26" s="220">
        <f>SUM(IF((13*(IF(ISBLANK(E26),C26,E26)))+IF(ISBLANK(D26),B26,D26) &lt; 0, 0, (13*(IF(ISBLANK(E26),C26,E26)))+IF(ISBLANK(D26),B26,D26)))*12</f>
        <v>3.24</v>
      </c>
      <c r="Y26" s="221"/>
      <c r="Z26" s="578">
        <v>0</v>
      </c>
      <c r="AA26" s="617"/>
      <c r="AB26" s="532">
        <f>SUM(AB18*F26)</f>
        <v>0</v>
      </c>
      <c r="AC26" s="492">
        <f>SUM(AC18*F26)</f>
        <v>0</v>
      </c>
      <c r="AD26" s="492">
        <f>SUM(AD18*F26)</f>
        <v>0</v>
      </c>
      <c r="AE26" s="492">
        <f t="shared" si="70"/>
        <v>0</v>
      </c>
      <c r="AF26" s="222"/>
      <c r="AG26" s="532">
        <f>SUM(AG18*G26)</f>
        <v>0</v>
      </c>
      <c r="AH26" s="492">
        <f>SUM(AH18*G26)</f>
        <v>0</v>
      </c>
      <c r="AI26" s="492">
        <f>SUM(AI18*G26)</f>
        <v>0</v>
      </c>
      <c r="AJ26" s="492">
        <f t="shared" si="71"/>
        <v>0</v>
      </c>
      <c r="AK26" s="222"/>
      <c r="AL26" s="532">
        <f t="shared" si="72"/>
        <v>0</v>
      </c>
      <c r="AM26" s="492">
        <f t="shared" si="73"/>
        <v>0</v>
      </c>
      <c r="AN26" s="492">
        <f t="shared" si="74"/>
        <v>0</v>
      </c>
      <c r="AO26" s="492">
        <f t="shared" si="75"/>
        <v>0</v>
      </c>
      <c r="AP26" s="222"/>
      <c r="AQ26" s="532">
        <f>SUM(AQ18*I26)</f>
        <v>0</v>
      </c>
      <c r="AR26" s="492">
        <f>SUM(AR18*I26)</f>
        <v>0</v>
      </c>
      <c r="AS26" s="492">
        <f>SUM(AS18*I26)</f>
        <v>0</v>
      </c>
      <c r="AT26" s="492">
        <f t="shared" si="76"/>
        <v>0</v>
      </c>
      <c r="AU26" s="222"/>
      <c r="AV26" s="617"/>
      <c r="AW26" s="532">
        <f>SUM(AW18*K26)</f>
        <v>848.33292363622502</v>
      </c>
      <c r="AX26" s="492">
        <f>SUM(AX18*K26)</f>
        <v>1011.84656130872</v>
      </c>
      <c r="AY26" s="492">
        <f>SUM(AY18*K26)</f>
        <v>1185.1703135999137</v>
      </c>
      <c r="AZ26" s="492">
        <f t="shared" si="77"/>
        <v>3045.3497985448585</v>
      </c>
      <c r="BA26" s="222"/>
      <c r="BB26" s="532">
        <f>SUM(BB18*L26)</f>
        <v>4214.0320728597126</v>
      </c>
      <c r="BC26" s="492">
        <f>SUM(BC18*L26)</f>
        <v>4895.5975682586231</v>
      </c>
      <c r="BD26" s="492">
        <f>SUM(BD18*L26)</f>
        <v>5601.0138440662431</v>
      </c>
      <c r="BE26" s="492">
        <f t="shared" si="78"/>
        <v>14710.643485184579</v>
      </c>
      <c r="BF26" s="222"/>
      <c r="BG26" s="532">
        <f>SUM(BG18*M26)</f>
        <v>11053.138267214506</v>
      </c>
      <c r="BH26" s="492">
        <f>SUM(BH18*M26)</f>
        <v>12826.218819329759</v>
      </c>
      <c r="BI26" s="492">
        <f>SUM(BI18*M26)</f>
        <v>14656.023162884607</v>
      </c>
      <c r="BJ26" s="492">
        <f t="shared" si="79"/>
        <v>38535.380249428876</v>
      </c>
      <c r="BK26" s="222"/>
      <c r="BL26" s="532">
        <f>SUM(BL18*N26)</f>
        <v>24670.35819866872</v>
      </c>
      <c r="BM26" s="492">
        <f>SUM(BM18*N26)</f>
        <v>28967.5506623375</v>
      </c>
      <c r="BN26" s="492">
        <f>SUM(BN18*N26)</f>
        <v>33415.092379107788</v>
      </c>
      <c r="BO26" s="492">
        <f t="shared" si="80"/>
        <v>87053.001240114012</v>
      </c>
      <c r="BP26" s="222"/>
      <c r="BQ26" s="221"/>
      <c r="BR26" s="532">
        <f>SUM(BR18*P26)</f>
        <v>52270.55157325248</v>
      </c>
      <c r="BS26" s="492">
        <f>SUM(BS18*P26)</f>
        <v>61932.384722938674</v>
      </c>
      <c r="BT26" s="492">
        <f>SUM(BT18*P26)</f>
        <v>71961.189195543979</v>
      </c>
      <c r="BU26" s="492">
        <f t="shared" si="81"/>
        <v>186164.12549173512</v>
      </c>
      <c r="BV26" s="222"/>
      <c r="BW26" s="532">
        <f>SUM(BW18*Q26)</f>
        <v>108361.19521317953</v>
      </c>
      <c r="BX26" s="492">
        <f>SUM(BX18*Q26)</f>
        <v>129605.99769793786</v>
      </c>
      <c r="BY26" s="492">
        <f>SUM(BY18*Q26)</f>
        <v>151721.23122629774</v>
      </c>
      <c r="BZ26" s="492">
        <f t="shared" si="82"/>
        <v>389688.42413741513</v>
      </c>
      <c r="CA26" s="222"/>
      <c r="CB26" s="532">
        <f>SUM(CB18*R26)</f>
        <v>225212.29202769123</v>
      </c>
      <c r="CC26" s="492">
        <f>SUM(CC18*R26)</f>
        <v>273135.44290893176</v>
      </c>
      <c r="CD26" s="492">
        <f>SUM(CD18*R26)</f>
        <v>323165.05317432055</v>
      </c>
      <c r="CE26" s="492">
        <f t="shared" si="83"/>
        <v>821512.78811094351</v>
      </c>
      <c r="CF26" s="222"/>
      <c r="CG26" s="532">
        <f>SUM(CG18*S26)</f>
        <v>475022.06799497199</v>
      </c>
      <c r="CH26" s="492">
        <f>SUM(CH18*S26)</f>
        <v>581954.39753865777</v>
      </c>
      <c r="CI26" s="492">
        <f>SUM(CI18*S26)</f>
        <v>693904.6605337566</v>
      </c>
      <c r="CJ26" s="492">
        <f t="shared" si="84"/>
        <v>1750881.1260673865</v>
      </c>
      <c r="CK26" s="222"/>
      <c r="CL26" s="55"/>
      <c r="CM26" s="55"/>
      <c r="CN26" s="55"/>
      <c r="CO26" s="55"/>
      <c r="CP26" s="55"/>
      <c r="CQ26" s="55"/>
      <c r="CR26" s="55"/>
      <c r="CS26" s="55"/>
      <c r="CT26" s="55"/>
      <c r="CU26" s="55"/>
      <c r="CV26" s="55"/>
      <c r="CW26" s="55"/>
      <c r="CX26" s="55"/>
      <c r="CY26" s="55"/>
      <c r="CZ26" s="55"/>
      <c r="DA26" s="55"/>
      <c r="DB26" s="55"/>
      <c r="DC26" s="55"/>
      <c r="DD26" s="55"/>
      <c r="DE26" s="55"/>
      <c r="DF26" s="55"/>
      <c r="DG26" s="55"/>
      <c r="DH26" s="55"/>
      <c r="DI26" s="55"/>
      <c r="DJ26" s="55"/>
      <c r="DK26" s="55"/>
      <c r="DL26" s="55"/>
      <c r="DM26" s="55"/>
      <c r="DN26" s="55"/>
      <c r="DO26" s="55"/>
      <c r="DP26" s="55"/>
      <c r="DQ26" s="55"/>
      <c r="DR26" s="55"/>
      <c r="DS26" s="55"/>
      <c r="DT26" s="55"/>
      <c r="DU26" s="55"/>
      <c r="DV26" s="55"/>
      <c r="DW26" s="55"/>
      <c r="DX26" s="55"/>
      <c r="DY26" s="55"/>
      <c r="DZ26" s="55"/>
      <c r="EA26" s="55"/>
      <c r="EB26" s="55"/>
      <c r="EC26" s="55"/>
      <c r="ED26" s="55"/>
      <c r="EE26" s="55"/>
      <c r="EF26" s="55"/>
      <c r="EG26" s="55"/>
      <c r="EH26" s="55"/>
      <c r="EI26" s="55"/>
      <c r="EJ26" s="55"/>
      <c r="EK26" s="55"/>
      <c r="EL26" s="55"/>
      <c r="EM26" s="55"/>
      <c r="EN26" s="55"/>
      <c r="EO26" s="55"/>
      <c r="EP26" s="55"/>
      <c r="EQ26" s="55"/>
      <c r="ER26" s="55"/>
      <c r="ES26" s="55"/>
      <c r="ET26" s="55"/>
      <c r="EU26" s="55"/>
      <c r="EV26" s="55"/>
      <c r="EW26" s="55"/>
      <c r="EX26" s="55"/>
      <c r="EY26" s="55"/>
      <c r="EZ26" s="55"/>
      <c r="FA26" s="55"/>
      <c r="FB26" s="55"/>
      <c r="FC26" s="55"/>
      <c r="FD26" s="55"/>
      <c r="FE26" s="55"/>
      <c r="FF26" s="55"/>
      <c r="FG26" s="55"/>
      <c r="FH26" s="55"/>
      <c r="FI26" s="55"/>
      <c r="FJ26" s="55"/>
      <c r="FK26" s="55"/>
      <c r="FL26" s="55"/>
      <c r="FM26" s="55"/>
      <c r="FN26" s="55"/>
      <c r="FO26" s="55"/>
      <c r="FP26" s="55"/>
      <c r="FQ26" s="55"/>
      <c r="FR26" s="55"/>
      <c r="FS26" s="55"/>
      <c r="FT26" s="55"/>
      <c r="FU26" s="55"/>
      <c r="FV26" s="55"/>
      <c r="FW26" s="55"/>
    </row>
    <row r="27" spans="1:179" s="57" customFormat="1" ht="9.75" customHeight="1" x14ac:dyDescent="0.15">
      <c r="A27" s="468" t="s">
        <v>150</v>
      </c>
      <c r="B27" s="300">
        <v>0.01</v>
      </c>
      <c r="C27" s="214">
        <v>0</v>
      </c>
      <c r="D27" s="224"/>
      <c r="E27" s="225"/>
      <c r="F27" s="215">
        <v>0</v>
      </c>
      <c r="G27" s="216">
        <v>0</v>
      </c>
      <c r="H27" s="223">
        <v>0</v>
      </c>
      <c r="I27" s="223">
        <v>0</v>
      </c>
      <c r="J27" s="217">
        <f t="shared" si="97"/>
        <v>0</v>
      </c>
      <c r="K27" s="223">
        <v>0</v>
      </c>
      <c r="L27" s="223">
        <v>0</v>
      </c>
      <c r="M27" s="223">
        <v>0</v>
      </c>
      <c r="N27" s="223">
        <v>0</v>
      </c>
      <c r="O27" s="217">
        <f t="shared" si="91"/>
        <v>0</v>
      </c>
      <c r="P27" s="493">
        <f>SUM(IF((0*(IF(ISBLANK(E27),C27,E27)))+IF(ISBLANK(D27),B27,D27) &lt; 0, 0, (0*(IF(ISBLANK(E27),C27,E27)))+IF(ISBLANK(D27),B27,D27)))</f>
        <v>0.01</v>
      </c>
      <c r="Q27" s="493">
        <f>SUM(IF((1*(IF(ISBLANK(E27),C27,E27)))+IF(ISBLANK(D27),B27,D27) &lt; 0, 0, (1*(IF(ISBLANK(E27),C27,E27)))+IF(ISBLANK(D27),B27,D27)))</f>
        <v>0.01</v>
      </c>
      <c r="R27" s="493">
        <f>SUM(IF((2*(IF(ISBLANK(E27),C27,E27)))+IF(ISBLANK(D27),B27,D27) &lt; 0, 0, (2*(IF(ISBLANK(E27),C27,E27)))+IF(ISBLANK(D27),B27,D27)))</f>
        <v>0.01</v>
      </c>
      <c r="S27" s="493">
        <f>SUM(IF((3*(IF(ISBLANK(E27),C27,E27)))+IF(ISBLANK(D27),B27,D27) &lt; 0, 0, (3*(IF(ISBLANK(E27),C27,E27)))+IF(ISBLANK(D27),B27,D27)))</f>
        <v>0.01</v>
      </c>
      <c r="T27" s="218">
        <f t="shared" si="96"/>
        <v>236029.82300618556</v>
      </c>
      <c r="U27" s="247"/>
      <c r="V27" s="213">
        <f>SUM(IF((5*(IF(ISBLANK(E27),C27,E27)))+IF(ISBLANK(D27),B27,D27) &lt; 0, 0, (5*(IF(ISBLANK(E27),C27,E27)))+IF(ISBLANK(D27),B27,D27)))*12</f>
        <v>0.12</v>
      </c>
      <c r="W27" s="219">
        <f>SUM(IF((7*(IF(ISBLANK(E27),C27,E27)))+IF(ISBLANK(D27),B27,D27) &lt; 0, 0, (7*(IF(ISBLANK(E27),C27,E27)))+IF(ISBLANK(D27),B27,D27)))*12</f>
        <v>0.12</v>
      </c>
      <c r="X27" s="220">
        <f>SUM(IF((9*(IF(ISBLANK(E27),C27,E27)))+IF(ISBLANK(D27),B27,D27) &lt; 0, 0, (9*(IF(ISBLANK(E27),C27,E27)))+IF(ISBLANK(D27),B27,D27)))*12</f>
        <v>0.12</v>
      </c>
      <c r="Y27" s="221"/>
      <c r="Z27" s="578">
        <v>0</v>
      </c>
      <c r="AA27" s="617"/>
      <c r="AB27" s="532">
        <f>SUM(AB18*F27)</f>
        <v>0</v>
      </c>
      <c r="AC27" s="492">
        <f>SUM(AC18*F27)</f>
        <v>0</v>
      </c>
      <c r="AD27" s="492">
        <f>SUM(AD18*F27)</f>
        <v>0</v>
      </c>
      <c r="AE27" s="492">
        <f t="shared" si="70"/>
        <v>0</v>
      </c>
      <c r="AF27" s="222"/>
      <c r="AG27" s="532">
        <f>SUM(AG18*G27)</f>
        <v>0</v>
      </c>
      <c r="AH27" s="492">
        <f>SUM(AH18*G27)</f>
        <v>0</v>
      </c>
      <c r="AI27" s="492">
        <f>SUM(AI18*G27)</f>
        <v>0</v>
      </c>
      <c r="AJ27" s="492">
        <f t="shared" si="71"/>
        <v>0</v>
      </c>
      <c r="AK27" s="222"/>
      <c r="AL27" s="532">
        <f t="shared" si="72"/>
        <v>0</v>
      </c>
      <c r="AM27" s="492">
        <f t="shared" si="73"/>
        <v>0</v>
      </c>
      <c r="AN27" s="492">
        <f t="shared" si="74"/>
        <v>0</v>
      </c>
      <c r="AO27" s="492">
        <f t="shared" si="75"/>
        <v>0</v>
      </c>
      <c r="AP27" s="222"/>
      <c r="AQ27" s="532">
        <f>SUM(AQ18*I27)</f>
        <v>0</v>
      </c>
      <c r="AR27" s="492">
        <f>SUM(AR18*I27)</f>
        <v>0</v>
      </c>
      <c r="AS27" s="492">
        <f>SUM(AS18*I27)</f>
        <v>0</v>
      </c>
      <c r="AT27" s="492">
        <f t="shared" si="76"/>
        <v>0</v>
      </c>
      <c r="AU27" s="222"/>
      <c r="AV27" s="617"/>
      <c r="AW27" s="532">
        <f>SUM(AW18*K27)</f>
        <v>0</v>
      </c>
      <c r="AX27" s="492">
        <f>SUM(AX18*K27)</f>
        <v>0</v>
      </c>
      <c r="AY27" s="492">
        <f>SUM(AY18*K27)</f>
        <v>0</v>
      </c>
      <c r="AZ27" s="492">
        <f t="shared" si="77"/>
        <v>0</v>
      </c>
      <c r="BA27" s="222"/>
      <c r="BB27" s="532">
        <f>SUM(BB18*L27)</f>
        <v>0</v>
      </c>
      <c r="BC27" s="492">
        <f>SUM(BC18*L27)</f>
        <v>0</v>
      </c>
      <c r="BD27" s="492">
        <f>SUM(BD18*L27)</f>
        <v>0</v>
      </c>
      <c r="BE27" s="492">
        <f t="shared" si="78"/>
        <v>0</v>
      </c>
      <c r="BF27" s="222"/>
      <c r="BG27" s="532">
        <f>SUM(BG18*M27)</f>
        <v>0</v>
      </c>
      <c r="BH27" s="492">
        <f>SUM(BH18*M27)</f>
        <v>0</v>
      </c>
      <c r="BI27" s="492">
        <f>SUM(BI18*M27)</f>
        <v>0</v>
      </c>
      <c r="BJ27" s="492">
        <f t="shared" si="79"/>
        <v>0</v>
      </c>
      <c r="BK27" s="222"/>
      <c r="BL27" s="532">
        <f>SUM(BL18*N27)</f>
        <v>0</v>
      </c>
      <c r="BM27" s="492">
        <f>SUM(BM18*N27)</f>
        <v>0</v>
      </c>
      <c r="BN27" s="492">
        <f>SUM(BN18*N27)</f>
        <v>0</v>
      </c>
      <c r="BO27" s="492">
        <f t="shared" si="80"/>
        <v>0</v>
      </c>
      <c r="BP27" s="222"/>
      <c r="BQ27" s="221"/>
      <c r="BR27" s="532">
        <f>SUM(BR18*P27)</f>
        <v>5807.8390636947206</v>
      </c>
      <c r="BS27" s="492">
        <f>SUM(BS18*P27)</f>
        <v>6881.3760803265195</v>
      </c>
      <c r="BT27" s="492">
        <f>SUM(BT18*P27)</f>
        <v>7995.6876883937757</v>
      </c>
      <c r="BU27" s="492">
        <f t="shared" si="81"/>
        <v>20684.902832415017</v>
      </c>
      <c r="BV27" s="222"/>
      <c r="BW27" s="532">
        <f>SUM(BW18*Q27)</f>
        <v>9851.0177466526839</v>
      </c>
      <c r="BX27" s="492">
        <f>SUM(BX18*Q27)</f>
        <v>11782.36342708526</v>
      </c>
      <c r="BY27" s="492">
        <f>SUM(BY18*Q27)</f>
        <v>13792.839202390705</v>
      </c>
      <c r="BZ27" s="492">
        <f t="shared" si="82"/>
        <v>35426.220376128651</v>
      </c>
      <c r="CA27" s="222"/>
      <c r="CB27" s="532">
        <f>SUM(CB18*R27)</f>
        <v>17324.022463668556</v>
      </c>
      <c r="CC27" s="492">
        <f>SUM(CC18*R27)</f>
        <v>21010.41868530244</v>
      </c>
      <c r="CD27" s="492">
        <f>SUM(CD18*R27)</f>
        <v>24858.850244178502</v>
      </c>
      <c r="CE27" s="492">
        <f t="shared" si="83"/>
        <v>63193.291393149499</v>
      </c>
      <c r="CF27" s="222"/>
      <c r="CG27" s="532">
        <f>SUM(CG18*S27)</f>
        <v>31668.137866331461</v>
      </c>
      <c r="CH27" s="492">
        <f>SUM(CH18*S27)</f>
        <v>38796.959835910515</v>
      </c>
      <c r="CI27" s="492">
        <f>SUM(CI18*S27)</f>
        <v>46260.310702250434</v>
      </c>
      <c r="CJ27" s="492">
        <f t="shared" si="84"/>
        <v>116725.40840449239</v>
      </c>
      <c r="CK27" s="222"/>
      <c r="CL27" s="55"/>
      <c r="CM27" s="55"/>
      <c r="CN27" s="55"/>
      <c r="CO27" s="55"/>
      <c r="CP27" s="55"/>
      <c r="CQ27" s="55"/>
      <c r="CR27" s="55"/>
      <c r="CS27" s="55"/>
      <c r="CT27" s="55"/>
      <c r="CU27" s="55"/>
      <c r="CV27" s="55"/>
      <c r="CW27" s="55"/>
      <c r="CX27" s="55"/>
      <c r="CY27" s="55"/>
      <c r="CZ27" s="55"/>
      <c r="DA27" s="55"/>
      <c r="DB27" s="55"/>
      <c r="DC27" s="55"/>
      <c r="DD27" s="55"/>
      <c r="DE27" s="55"/>
      <c r="DF27" s="55"/>
      <c r="DG27" s="55"/>
      <c r="DH27" s="55"/>
      <c r="DI27" s="55"/>
      <c r="DJ27" s="55"/>
      <c r="DK27" s="55"/>
      <c r="DL27" s="55"/>
      <c r="DM27" s="55"/>
      <c r="DN27" s="55"/>
      <c r="DO27" s="55"/>
      <c r="DP27" s="55"/>
      <c r="DQ27" s="55"/>
      <c r="DR27" s="55"/>
      <c r="DS27" s="55"/>
      <c r="DT27" s="55"/>
      <c r="DU27" s="55"/>
      <c r="DV27" s="55"/>
      <c r="DW27" s="55"/>
      <c r="DX27" s="55"/>
      <c r="DY27" s="55"/>
      <c r="DZ27" s="55"/>
      <c r="EA27" s="55"/>
      <c r="EB27" s="55"/>
      <c r="EC27" s="55"/>
      <c r="ED27" s="55"/>
      <c r="EE27" s="55"/>
      <c r="EF27" s="55"/>
      <c r="EG27" s="55"/>
      <c r="EH27" s="55"/>
      <c r="EI27" s="55"/>
      <c r="EJ27" s="55"/>
      <c r="EK27" s="55"/>
      <c r="EL27" s="55"/>
      <c r="EM27" s="55"/>
      <c r="EN27" s="55"/>
      <c r="EO27" s="55"/>
      <c r="EP27" s="55"/>
      <c r="EQ27" s="55"/>
      <c r="ER27" s="55"/>
      <c r="ES27" s="55"/>
      <c r="ET27" s="55"/>
      <c r="EU27" s="55"/>
      <c r="EV27" s="55"/>
      <c r="EW27" s="55"/>
      <c r="EX27" s="55"/>
      <c r="EY27" s="55"/>
      <c r="EZ27" s="55"/>
      <c r="FA27" s="55"/>
      <c r="FB27" s="55"/>
      <c r="FC27" s="55"/>
      <c r="FD27" s="55"/>
      <c r="FE27" s="55"/>
      <c r="FF27" s="55"/>
      <c r="FG27" s="55"/>
      <c r="FH27" s="55"/>
      <c r="FI27" s="55"/>
      <c r="FJ27" s="55"/>
      <c r="FK27" s="55"/>
      <c r="FL27" s="55"/>
      <c r="FM27" s="55"/>
      <c r="FN27" s="55"/>
      <c r="FO27" s="55"/>
      <c r="FP27" s="55"/>
      <c r="FQ27" s="55"/>
      <c r="FR27" s="55"/>
      <c r="FS27" s="55"/>
      <c r="FT27" s="55"/>
      <c r="FU27" s="55"/>
      <c r="FV27" s="55"/>
      <c r="FW27" s="55"/>
    </row>
    <row r="28" spans="1:179" s="57" customFormat="1" ht="9.75" customHeight="1" x14ac:dyDescent="0.15">
      <c r="A28" s="468" t="s">
        <v>151</v>
      </c>
      <c r="B28" s="300">
        <v>0.05</v>
      </c>
      <c r="C28" s="299">
        <v>7.0000000000000007E-2</v>
      </c>
      <c r="D28" s="224"/>
      <c r="E28" s="225"/>
      <c r="F28" s="215">
        <v>0</v>
      </c>
      <c r="G28" s="216">
        <v>0</v>
      </c>
      <c r="H28" s="223">
        <v>0</v>
      </c>
      <c r="I28" s="223">
        <v>0</v>
      </c>
      <c r="J28" s="217">
        <f t="shared" si="97"/>
        <v>0</v>
      </c>
      <c r="K28" s="223">
        <v>0</v>
      </c>
      <c r="L28" s="223">
        <v>0</v>
      </c>
      <c r="M28" s="223">
        <v>0</v>
      </c>
      <c r="N28" s="223">
        <v>0</v>
      </c>
      <c r="O28" s="217">
        <f t="shared" si="91"/>
        <v>0</v>
      </c>
      <c r="P28" s="493">
        <f>SUM(IF((1*(IF(ISBLANK(E28),C28,E28)))+IF(ISBLANK(D28),B28,D28) &lt; 0, 0, (1*(IF(ISBLANK(E28),C28,E28)))+IF(ISBLANK(D28),B28,D28)))</f>
        <v>0.12000000000000001</v>
      </c>
      <c r="Q28" s="493">
        <f>SUM(IF((2*(IF(ISBLANK(E28),C28,E28)))+IF(ISBLANK(D28),B28,D28) &lt; 0, 0, (2*(IF(ISBLANK(E28),C28,E28)))+IF(ISBLANK(D28),B28,D28)))</f>
        <v>0.19</v>
      </c>
      <c r="R28" s="493">
        <f>SUM(IF((3*(IF(ISBLANK(E28),C28,E28)))+IF(ISBLANK(D28),B28,D28) &lt; 0, 0, (3*(IF(ISBLANK(E28),C28,E28)))+IF(ISBLANK(D28),B28,D28)))</f>
        <v>0.26</v>
      </c>
      <c r="S28" s="493">
        <f>SUM(IF((4*(IF(ISBLANK(E28),C28,E28)))+IF(ISBLANK(D28),B28,D28) &lt; 0, 0, (4*(IF(ISBLANK(E28),C28,E28)))+IF(ISBLANK(D28),B28,D28)))</f>
        <v>0.33</v>
      </c>
      <c r="T28" s="218">
        <f t="shared" si="96"/>
        <v>6416281.0747055616</v>
      </c>
      <c r="U28" s="247"/>
      <c r="V28" s="213">
        <f>SUM(IF((6*(IF(ISBLANK(E28),C28,E28)))+IF(ISBLANK(D28),B28,D28) &lt; 0, 0, (6*(IF(ISBLANK(E28),C28,E28)))+IF(ISBLANK(D28),B28,D28)))*12</f>
        <v>5.6400000000000006</v>
      </c>
      <c r="W28" s="219">
        <f>SUM(IF((8*(IF(ISBLANK(E28),C28,E28)))+IF(ISBLANK(D28),B28,D28) &lt; 0, 0, (8*(IF(ISBLANK(E28),C28,E28)))+IF(ISBLANK(D28),B28,D28)))*12</f>
        <v>7.3200000000000012</v>
      </c>
      <c r="X28" s="220">
        <f>SUM(IF((10*(IF(ISBLANK(E28),C28,E28)))+IF(ISBLANK(D28),B28,D28) &lt; 0, 0, (10*(IF(ISBLANK(E28),C28,E28)))+IF(ISBLANK(D28),B28,D28)))*12</f>
        <v>9.0000000000000018</v>
      </c>
      <c r="Y28" s="221"/>
      <c r="Z28" s="578">
        <v>0</v>
      </c>
      <c r="AA28" s="617"/>
      <c r="AB28" s="532">
        <f>SUM(AB18*F28)</f>
        <v>0</v>
      </c>
      <c r="AC28" s="492">
        <f>SUM(AC18*F28)</f>
        <v>0</v>
      </c>
      <c r="AD28" s="492">
        <f>SUM(AD18*F28)</f>
        <v>0</v>
      </c>
      <c r="AE28" s="492">
        <f t="shared" si="70"/>
        <v>0</v>
      </c>
      <c r="AF28" s="222"/>
      <c r="AG28" s="532">
        <f>SUM(AG18*G28)</f>
        <v>0</v>
      </c>
      <c r="AH28" s="492">
        <f>SUM(AH18*G28)</f>
        <v>0</v>
      </c>
      <c r="AI28" s="492">
        <f>SUM(AI18*G28)</f>
        <v>0</v>
      </c>
      <c r="AJ28" s="492">
        <f t="shared" si="71"/>
        <v>0</v>
      </c>
      <c r="AK28" s="222"/>
      <c r="AL28" s="532">
        <f t="shared" si="72"/>
        <v>0</v>
      </c>
      <c r="AM28" s="492">
        <f t="shared" si="73"/>
        <v>0</v>
      </c>
      <c r="AN28" s="492">
        <f t="shared" si="74"/>
        <v>0</v>
      </c>
      <c r="AO28" s="492">
        <f t="shared" si="75"/>
        <v>0</v>
      </c>
      <c r="AP28" s="222"/>
      <c r="AQ28" s="532">
        <f>SUM(AQ18*I28)</f>
        <v>0</v>
      </c>
      <c r="AR28" s="492">
        <f>SUM(AR18*I28)</f>
        <v>0</v>
      </c>
      <c r="AS28" s="492">
        <f>SUM(AS18*I28)</f>
        <v>0</v>
      </c>
      <c r="AT28" s="492">
        <f t="shared" si="76"/>
        <v>0</v>
      </c>
      <c r="AU28" s="222"/>
      <c r="AV28" s="617"/>
      <c r="AW28" s="532">
        <f>SUM(AW18*K28)</f>
        <v>0</v>
      </c>
      <c r="AX28" s="492">
        <f>SUM(AX18*K28)</f>
        <v>0</v>
      </c>
      <c r="AY28" s="492">
        <f>SUM(AY18*K28)</f>
        <v>0</v>
      </c>
      <c r="AZ28" s="492">
        <f t="shared" si="77"/>
        <v>0</v>
      </c>
      <c r="BA28" s="222"/>
      <c r="BB28" s="532">
        <f>SUM(BB18*L28)</f>
        <v>0</v>
      </c>
      <c r="BC28" s="492">
        <f>SUM(BC18*L28)</f>
        <v>0</v>
      </c>
      <c r="BD28" s="492">
        <f>SUM(BD18*L28)</f>
        <v>0</v>
      </c>
      <c r="BE28" s="492">
        <f t="shared" si="78"/>
        <v>0</v>
      </c>
      <c r="BF28" s="222"/>
      <c r="BG28" s="532">
        <f>SUM(BG18*M28)</f>
        <v>0</v>
      </c>
      <c r="BH28" s="492">
        <f>SUM(BH18*M28)</f>
        <v>0</v>
      </c>
      <c r="BI28" s="492">
        <f>SUM(BI18*M28)</f>
        <v>0</v>
      </c>
      <c r="BJ28" s="492">
        <f t="shared" si="79"/>
        <v>0</v>
      </c>
      <c r="BK28" s="222"/>
      <c r="BL28" s="532">
        <f>SUM(BL18*N28)</f>
        <v>0</v>
      </c>
      <c r="BM28" s="492">
        <f>SUM(BM18*N28)</f>
        <v>0</v>
      </c>
      <c r="BN28" s="492">
        <f>SUM(BN18*N28)</f>
        <v>0</v>
      </c>
      <c r="BO28" s="492">
        <f t="shared" si="80"/>
        <v>0</v>
      </c>
      <c r="BP28" s="222"/>
      <c r="BQ28" s="221"/>
      <c r="BR28" s="532">
        <f>SUM(BR18*P28)</f>
        <v>69694.068764336655</v>
      </c>
      <c r="BS28" s="492">
        <f>SUM(BS18*P28)</f>
        <v>82576.512963918241</v>
      </c>
      <c r="BT28" s="492">
        <f>SUM(BT18*P28)</f>
        <v>95948.25226072532</v>
      </c>
      <c r="BU28" s="492">
        <f t="shared" si="81"/>
        <v>248218.83398898022</v>
      </c>
      <c r="BV28" s="222"/>
      <c r="BW28" s="532">
        <f>SUM(BW18*Q28)</f>
        <v>187169.33718640098</v>
      </c>
      <c r="BX28" s="492">
        <f>SUM(BX18*Q28)</f>
        <v>223864.90511461993</v>
      </c>
      <c r="BY28" s="492">
        <f>SUM(BY18*Q28)</f>
        <v>262063.94484542339</v>
      </c>
      <c r="BZ28" s="492">
        <f t="shared" si="82"/>
        <v>673098.18714644434</v>
      </c>
      <c r="CA28" s="222"/>
      <c r="CB28" s="532">
        <f>SUM(CB18*R28)</f>
        <v>450424.58405538247</v>
      </c>
      <c r="CC28" s="492">
        <f>SUM(CC18*R28)</f>
        <v>546270.88581786351</v>
      </c>
      <c r="CD28" s="492">
        <f>SUM(CD18*R28)</f>
        <v>646330.1063486411</v>
      </c>
      <c r="CE28" s="492">
        <f t="shared" si="83"/>
        <v>1643025.576221887</v>
      </c>
      <c r="CF28" s="222"/>
      <c r="CG28" s="532">
        <f>SUM(CG18*S28)</f>
        <v>1045048.5495889382</v>
      </c>
      <c r="CH28" s="492">
        <f>SUM(CH18*S28)</f>
        <v>1280299.6745850469</v>
      </c>
      <c r="CI28" s="492">
        <f>SUM(CI18*S28)</f>
        <v>1526590.2531742644</v>
      </c>
      <c r="CJ28" s="492">
        <f t="shared" si="84"/>
        <v>3851938.4773482499</v>
      </c>
      <c r="CK28" s="222"/>
      <c r="CL28" s="55"/>
      <c r="CM28" s="55"/>
      <c r="CN28" s="55"/>
      <c r="CO28" s="55"/>
      <c r="CP28" s="55"/>
      <c r="CQ28" s="55"/>
      <c r="CR28" s="55"/>
      <c r="CS28" s="55"/>
      <c r="CT28" s="55"/>
      <c r="CU28" s="55"/>
      <c r="CV28" s="55"/>
      <c r="CW28" s="55"/>
      <c r="CX28" s="55"/>
      <c r="CY28" s="55"/>
      <c r="CZ28" s="55"/>
      <c r="DA28" s="55"/>
      <c r="DB28" s="55"/>
      <c r="DC28" s="55"/>
      <c r="DD28" s="55"/>
      <c r="DE28" s="55"/>
      <c r="DF28" s="55"/>
      <c r="DG28" s="55"/>
      <c r="DH28" s="55"/>
      <c r="DI28" s="55"/>
      <c r="DJ28" s="55"/>
      <c r="DK28" s="55"/>
      <c r="DL28" s="55"/>
      <c r="DM28" s="55"/>
      <c r="DN28" s="55"/>
      <c r="DO28" s="55"/>
      <c r="DP28" s="55"/>
      <c r="DQ28" s="55"/>
      <c r="DR28" s="55"/>
      <c r="DS28" s="55"/>
      <c r="DT28" s="55"/>
      <c r="DU28" s="55"/>
      <c r="DV28" s="55"/>
      <c r="DW28" s="55"/>
      <c r="DX28" s="55"/>
      <c r="DY28" s="55"/>
      <c r="DZ28" s="55"/>
      <c r="EA28" s="55"/>
      <c r="EB28" s="55"/>
      <c r="EC28" s="55"/>
      <c r="ED28" s="55"/>
      <c r="EE28" s="55"/>
      <c r="EF28" s="55"/>
      <c r="EG28" s="55"/>
      <c r="EH28" s="55"/>
      <c r="EI28" s="55"/>
      <c r="EJ28" s="55"/>
      <c r="EK28" s="55"/>
      <c r="EL28" s="55"/>
      <c r="EM28" s="55"/>
      <c r="EN28" s="55"/>
      <c r="EO28" s="55"/>
      <c r="EP28" s="55"/>
      <c r="EQ28" s="55"/>
      <c r="ER28" s="55"/>
      <c r="ES28" s="55"/>
      <c r="ET28" s="55"/>
      <c r="EU28" s="55"/>
      <c r="EV28" s="55"/>
      <c r="EW28" s="55"/>
      <c r="EX28" s="55"/>
      <c r="EY28" s="55"/>
      <c r="EZ28" s="55"/>
      <c r="FA28" s="55"/>
      <c r="FB28" s="55"/>
      <c r="FC28" s="55"/>
      <c r="FD28" s="55"/>
      <c r="FE28" s="55"/>
      <c r="FF28" s="55"/>
      <c r="FG28" s="55"/>
      <c r="FH28" s="55"/>
      <c r="FI28" s="55"/>
      <c r="FJ28" s="55"/>
      <c r="FK28" s="55"/>
      <c r="FL28" s="55"/>
      <c r="FM28" s="55"/>
      <c r="FN28" s="55"/>
      <c r="FO28" s="55"/>
      <c r="FP28" s="55"/>
      <c r="FQ28" s="55"/>
      <c r="FR28" s="55"/>
      <c r="FS28" s="55"/>
      <c r="FT28" s="55"/>
      <c r="FU28" s="55"/>
      <c r="FV28" s="55"/>
      <c r="FW28" s="55"/>
    </row>
    <row r="29" spans="1:179" s="57" customFormat="1" ht="9.75" customHeight="1" x14ac:dyDescent="0.15">
      <c r="A29" s="487" t="s">
        <v>152</v>
      </c>
      <c r="B29" s="697" t="s">
        <v>159</v>
      </c>
      <c r="C29" s="698"/>
      <c r="D29" s="695"/>
      <c r="E29" s="696"/>
      <c r="F29" s="226">
        <v>0</v>
      </c>
      <c r="G29" s="227">
        <v>0</v>
      </c>
      <c r="H29" s="227">
        <v>0</v>
      </c>
      <c r="I29" s="227">
        <v>0</v>
      </c>
      <c r="J29" s="217">
        <f t="shared" si="97"/>
        <v>0</v>
      </c>
      <c r="K29" s="227">
        <v>0</v>
      </c>
      <c r="L29" s="227">
        <v>0</v>
      </c>
      <c r="M29" s="227">
        <v>0</v>
      </c>
      <c r="N29" s="227">
        <v>0</v>
      </c>
      <c r="O29" s="217">
        <f t="shared" si="91"/>
        <v>0</v>
      </c>
      <c r="P29" s="227">
        <v>0</v>
      </c>
      <c r="Q29" s="227">
        <v>0</v>
      </c>
      <c r="R29" s="227">
        <v>0</v>
      </c>
      <c r="S29" s="227">
        <v>0</v>
      </c>
      <c r="T29" s="218">
        <f t="shared" si="96"/>
        <v>0</v>
      </c>
      <c r="U29" s="221"/>
      <c r="V29" s="239">
        <v>0</v>
      </c>
      <c r="W29" s="217">
        <v>0</v>
      </c>
      <c r="X29" s="242">
        <v>0</v>
      </c>
      <c r="Y29" s="221"/>
      <c r="Z29" s="578">
        <v>0</v>
      </c>
      <c r="AA29" s="617"/>
      <c r="AB29" s="532">
        <f>SUM(F29/3)</f>
        <v>0</v>
      </c>
      <c r="AC29" s="492">
        <f>SUM(F29/3)</f>
        <v>0</v>
      </c>
      <c r="AD29" s="492">
        <f>SUM(F29/3)</f>
        <v>0</v>
      </c>
      <c r="AE29" s="492">
        <f t="shared" si="70"/>
        <v>0</v>
      </c>
      <c r="AF29" s="222"/>
      <c r="AG29" s="532">
        <f>SUM(G29/3)</f>
        <v>0</v>
      </c>
      <c r="AH29" s="492">
        <f>SUM(G29/3)</f>
        <v>0</v>
      </c>
      <c r="AI29" s="492">
        <f>SUM(G29/3)</f>
        <v>0</v>
      </c>
      <c r="AJ29" s="492">
        <f t="shared" si="71"/>
        <v>0</v>
      </c>
      <c r="AK29" s="222"/>
      <c r="AL29" s="532">
        <f>SUM(H29/3)</f>
        <v>0</v>
      </c>
      <c r="AM29" s="492">
        <f>SUM(H29/3)</f>
        <v>0</v>
      </c>
      <c r="AN29" s="492">
        <f>SUM(H29/3)</f>
        <v>0</v>
      </c>
      <c r="AO29" s="492">
        <f t="shared" si="75"/>
        <v>0</v>
      </c>
      <c r="AP29" s="222"/>
      <c r="AQ29" s="532">
        <f>SUM(I29/3)</f>
        <v>0</v>
      </c>
      <c r="AR29" s="492">
        <f>SUM(I29/3)</f>
        <v>0</v>
      </c>
      <c r="AS29" s="492">
        <f>SUM(I29/3)</f>
        <v>0</v>
      </c>
      <c r="AT29" s="492">
        <f t="shared" si="76"/>
        <v>0</v>
      </c>
      <c r="AU29" s="222"/>
      <c r="AV29" s="617"/>
      <c r="AW29" s="532">
        <f>SUM(K29/3)</f>
        <v>0</v>
      </c>
      <c r="AX29" s="492">
        <f>SUM(K29/3)</f>
        <v>0</v>
      </c>
      <c r="AY29" s="492">
        <f>SUM(K29/3)</f>
        <v>0</v>
      </c>
      <c r="AZ29" s="492">
        <f t="shared" si="77"/>
        <v>0</v>
      </c>
      <c r="BA29" s="222"/>
      <c r="BB29" s="532">
        <f>SUM(L29/3)</f>
        <v>0</v>
      </c>
      <c r="BC29" s="492">
        <f>SUM(L29/3)</f>
        <v>0</v>
      </c>
      <c r="BD29" s="492">
        <f>SUM(L29/3)</f>
        <v>0</v>
      </c>
      <c r="BE29" s="492">
        <f t="shared" si="78"/>
        <v>0</v>
      </c>
      <c r="BF29" s="222"/>
      <c r="BG29" s="532">
        <f>SUM(M29/3)</f>
        <v>0</v>
      </c>
      <c r="BH29" s="492">
        <f>SUM(M29/3)</f>
        <v>0</v>
      </c>
      <c r="BI29" s="492">
        <f>SUM(M29/3)</f>
        <v>0</v>
      </c>
      <c r="BJ29" s="492">
        <f t="shared" si="79"/>
        <v>0</v>
      </c>
      <c r="BK29" s="222"/>
      <c r="BL29" s="532">
        <f>SUM(N29/3)</f>
        <v>0</v>
      </c>
      <c r="BM29" s="492">
        <f>SUM(N29/3)</f>
        <v>0</v>
      </c>
      <c r="BN29" s="492">
        <f>SUM(N29/3)</f>
        <v>0</v>
      </c>
      <c r="BO29" s="492">
        <f t="shared" si="80"/>
        <v>0</v>
      </c>
      <c r="BP29" s="222"/>
      <c r="BQ29" s="221"/>
      <c r="BR29" s="532">
        <f>SUM(P29/3)</f>
        <v>0</v>
      </c>
      <c r="BS29" s="492">
        <f>SUM(P29/3)</f>
        <v>0</v>
      </c>
      <c r="BT29" s="492">
        <f>SUM(P29/3)</f>
        <v>0</v>
      </c>
      <c r="BU29" s="492">
        <f t="shared" si="81"/>
        <v>0</v>
      </c>
      <c r="BV29" s="222"/>
      <c r="BW29" s="532">
        <f>SUM(Q29/3)</f>
        <v>0</v>
      </c>
      <c r="BX29" s="492">
        <f>SUM(Q29/3)</f>
        <v>0</v>
      </c>
      <c r="BY29" s="492">
        <f>SUM(Q29/3)</f>
        <v>0</v>
      </c>
      <c r="BZ29" s="492">
        <f t="shared" si="82"/>
        <v>0</v>
      </c>
      <c r="CA29" s="222"/>
      <c r="CB29" s="532">
        <f>SUM(R29/3)</f>
        <v>0</v>
      </c>
      <c r="CC29" s="492">
        <f>SUM(R29/3)</f>
        <v>0</v>
      </c>
      <c r="CD29" s="492">
        <f>SUM(R29/3)</f>
        <v>0</v>
      </c>
      <c r="CE29" s="492">
        <f t="shared" si="83"/>
        <v>0</v>
      </c>
      <c r="CF29" s="222"/>
      <c r="CG29" s="532">
        <f>SUM(S29/3)</f>
        <v>0</v>
      </c>
      <c r="CH29" s="492">
        <f>SUM(S29/3)</f>
        <v>0</v>
      </c>
      <c r="CI29" s="492">
        <f>SUM(S29/3)</f>
        <v>0</v>
      </c>
      <c r="CJ29" s="492">
        <f t="shared" si="84"/>
        <v>0</v>
      </c>
      <c r="CK29" s="222"/>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row>
    <row r="30" spans="1:179" s="57" customFormat="1" ht="9.75" customHeight="1" x14ac:dyDescent="0.15">
      <c r="A30" s="422" t="s">
        <v>219</v>
      </c>
      <c r="B30" s="185"/>
      <c r="C30" s="186"/>
      <c r="D30" s="636"/>
      <c r="E30" s="637"/>
      <c r="F30" s="419">
        <f>AE30</f>
        <v>0</v>
      </c>
      <c r="G30" s="420">
        <f>AJ30</f>
        <v>0</v>
      </c>
      <c r="H30" s="420">
        <f>AO30</f>
        <v>33834.890428193816</v>
      </c>
      <c r="I30" s="420">
        <f>AT30</f>
        <v>158875.46180364248</v>
      </c>
      <c r="J30" s="211">
        <f>SUM(F30:I30)</f>
        <v>192710.3522318363</v>
      </c>
      <c r="K30" s="420">
        <f>AZ30</f>
        <v>408076.87300501106</v>
      </c>
      <c r="L30" s="420">
        <f>BE30</f>
        <v>843410.22648391593</v>
      </c>
      <c r="M30" s="420">
        <f>BJ30</f>
        <v>1618485.9704760127</v>
      </c>
      <c r="N30" s="420">
        <f>BO30</f>
        <v>3084163.4725068966</v>
      </c>
      <c r="O30" s="211">
        <f>SUM(K30:N30)</f>
        <v>5954136.5424718363</v>
      </c>
      <c r="P30" s="420">
        <f>BU30</f>
        <v>6184785.9468920901</v>
      </c>
      <c r="Q30" s="420">
        <f>BZ30</f>
        <v>12186619.809388254</v>
      </c>
      <c r="R30" s="420">
        <f>CE30</f>
        <v>24582190.351935159</v>
      </c>
      <c r="S30" s="420">
        <f>CJ30</f>
        <v>50658827.247549705</v>
      </c>
      <c r="T30" s="230">
        <f>SUM(P30:S30)</f>
        <v>93612423.355765209</v>
      </c>
      <c r="U30" s="232"/>
      <c r="V30" s="231">
        <f>SUM(((S18+V18)/2)*(V21+V22+V23+V24+V25+V26+V27+V28))</f>
        <v>552112947.54911792</v>
      </c>
      <c r="W30" s="211">
        <f>SUM(((V18+W18)/2)*(W21+W22+W23+W24+W25+W26+W27+W28))</f>
        <v>1458942293.0931103</v>
      </c>
      <c r="X30" s="212">
        <f>SUM(((W18+X18)/2)*(X21+X22+X23+X24+X25+X26+X27+X28))</f>
        <v>3076502680.7854595</v>
      </c>
      <c r="Y30" s="232"/>
      <c r="Z30" s="579">
        <v>0</v>
      </c>
      <c r="AA30" s="618"/>
      <c r="AB30" s="535">
        <f>SUM(AB21:AB29)</f>
        <v>0</v>
      </c>
      <c r="AC30" s="420">
        <f>SUM(AC21:AC29)</f>
        <v>0</v>
      </c>
      <c r="AD30" s="420">
        <f>SUM(AD21:AD29)</f>
        <v>0</v>
      </c>
      <c r="AE30" s="211">
        <f>SUM(AB30:AD30)</f>
        <v>0</v>
      </c>
      <c r="AF30" s="212"/>
      <c r="AG30" s="535">
        <f>SUM(AG21:AG29)</f>
        <v>0</v>
      </c>
      <c r="AH30" s="420">
        <f>SUM(AH21:AH29)</f>
        <v>0</v>
      </c>
      <c r="AI30" s="420">
        <f>SUM(AI21:AI29)</f>
        <v>0</v>
      </c>
      <c r="AJ30" s="211">
        <f>SUM(AG30:AI30)</f>
        <v>0</v>
      </c>
      <c r="AK30" s="212"/>
      <c r="AL30" s="535">
        <f>SUM(AL21:AL29)</f>
        <v>6587.7606801076581</v>
      </c>
      <c r="AM30" s="420">
        <f>SUM(AM21:AM29)</f>
        <v>11098.291199090763</v>
      </c>
      <c r="AN30" s="420">
        <f>SUM(AN21:AN29)</f>
        <v>16148.838548995394</v>
      </c>
      <c r="AO30" s="211">
        <f>SUM(AL30:AN30)</f>
        <v>33834.890428193816</v>
      </c>
      <c r="AP30" s="212"/>
      <c r="AQ30" s="535">
        <f>SUM(AQ21:AQ29)</f>
        <v>41016.306274206712</v>
      </c>
      <c r="AR30" s="420">
        <f>SUM(AR21:AR29)</f>
        <v>52616.185556572505</v>
      </c>
      <c r="AS30" s="420">
        <f>SUM(AS21:AS29)</f>
        <v>65242.969972863277</v>
      </c>
      <c r="AT30" s="211">
        <f>SUM(AQ30:AS30)</f>
        <v>158875.46180364248</v>
      </c>
      <c r="AU30" s="212"/>
      <c r="AV30" s="618"/>
      <c r="AW30" s="535">
        <f>SUM(AW21:AW29)</f>
        <v>113676.61176725413</v>
      </c>
      <c r="AX30" s="420">
        <f>SUM(AX21:AX29)</f>
        <v>135587.43921536847</v>
      </c>
      <c r="AY30" s="420">
        <f>SUM(AY21:AY29)</f>
        <v>158812.82202238846</v>
      </c>
      <c r="AZ30" s="211">
        <f>SUM(AW30:AY30)</f>
        <v>408076.87300501106</v>
      </c>
      <c r="BA30" s="212"/>
      <c r="BB30" s="535">
        <f>SUM(BB21:BB29)</f>
        <v>241604.50551062348</v>
      </c>
      <c r="BC30" s="420">
        <f>SUM(BC21:BC29)</f>
        <v>280680.92724682781</v>
      </c>
      <c r="BD30" s="420">
        <f>SUM(BD21:BD29)</f>
        <v>321124.79372646456</v>
      </c>
      <c r="BE30" s="211">
        <f>SUM(BB30:BD30)</f>
        <v>843410.22648391593</v>
      </c>
      <c r="BF30" s="212"/>
      <c r="BG30" s="535">
        <f>SUM(BG21:BG29)</f>
        <v>464231.80722300929</v>
      </c>
      <c r="BH30" s="420">
        <f>SUM(BH21:BH29)</f>
        <v>538701.19041184988</v>
      </c>
      <c r="BI30" s="420">
        <f>SUM(BI21:BI29)</f>
        <v>615552.9728411535</v>
      </c>
      <c r="BJ30" s="211">
        <f>SUM(BG30:BI30)</f>
        <v>1618485.9704760127</v>
      </c>
      <c r="BK30" s="212"/>
      <c r="BL30" s="535">
        <f>SUM(BL21:BL29)</f>
        <v>874035.54760997754</v>
      </c>
      <c r="BM30" s="420">
        <f>SUM(BM21:BM29)</f>
        <v>1026278.9377513858</v>
      </c>
      <c r="BN30" s="420">
        <f>SUM(BN21:BN29)</f>
        <v>1183848.9871455333</v>
      </c>
      <c r="BO30" s="211">
        <f>SUM(BL30:BN30)</f>
        <v>3084163.4725068966</v>
      </c>
      <c r="BP30" s="212"/>
      <c r="BQ30" s="232"/>
      <c r="BR30" s="535">
        <f>SUM(BR21:BR29)</f>
        <v>1736543.8800447215</v>
      </c>
      <c r="BS30" s="420">
        <f>SUM(BS21:BS29)</f>
        <v>2057531.4480176296</v>
      </c>
      <c r="BT30" s="420">
        <f>SUM(BT21:BT29)</f>
        <v>2390710.6188297397</v>
      </c>
      <c r="BU30" s="211">
        <f>SUM(BR30:BT30)</f>
        <v>6184785.9468920901</v>
      </c>
      <c r="BV30" s="212"/>
      <c r="BW30" s="535">
        <f>SUM(BW21:BW29)</f>
        <v>3388750.1048485232</v>
      </c>
      <c r="BX30" s="420">
        <f>SUM(BX21:BX29)</f>
        <v>4053133.0189173291</v>
      </c>
      <c r="BY30" s="420">
        <f>SUM(BY21:BY29)</f>
        <v>4744736.6856224025</v>
      </c>
      <c r="BZ30" s="211">
        <f>SUM(BW30:BY30)</f>
        <v>12186619.809388254</v>
      </c>
      <c r="CA30" s="212"/>
      <c r="CB30" s="535">
        <f>SUM(CB21:CB29)</f>
        <v>6739044.7383670695</v>
      </c>
      <c r="CC30" s="420">
        <f>SUM(CC21:CC29)</f>
        <v>8173052.868582651</v>
      </c>
      <c r="CD30" s="420">
        <f>SUM(CD21:CD29)</f>
        <v>9670092.7449854389</v>
      </c>
      <c r="CE30" s="211">
        <f>SUM(CB30:CD30)</f>
        <v>24582190.351935159</v>
      </c>
      <c r="CF30" s="212"/>
      <c r="CG30" s="535">
        <f>SUM(CG21:CG29)</f>
        <v>13743971.833987854</v>
      </c>
      <c r="CH30" s="420">
        <f>SUM(CH21:CH29)</f>
        <v>16837880.568785165</v>
      </c>
      <c r="CI30" s="420">
        <f>SUM(CI21:CI29)</f>
        <v>20076974.844776686</v>
      </c>
      <c r="CJ30" s="233">
        <f>SUM(CG30:CI30)</f>
        <v>50658827.247549705</v>
      </c>
      <c r="CK30" s="212"/>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row>
    <row r="31" spans="1:179" s="55" customFormat="1" ht="4.5" customHeight="1" x14ac:dyDescent="0.15">
      <c r="A31" s="189"/>
      <c r="B31" s="190"/>
      <c r="C31" s="191"/>
      <c r="D31" s="192"/>
      <c r="E31" s="193"/>
      <c r="F31" s="234"/>
      <c r="G31" s="196"/>
      <c r="H31" s="196"/>
      <c r="I31" s="196"/>
      <c r="J31" s="196"/>
      <c r="K31" s="196"/>
      <c r="L31" s="196"/>
      <c r="M31" s="196"/>
      <c r="N31" s="196"/>
      <c r="O31" s="196"/>
      <c r="P31" s="196"/>
      <c r="Q31" s="196"/>
      <c r="R31" s="196"/>
      <c r="S31" s="196"/>
      <c r="T31" s="197"/>
      <c r="U31" s="235"/>
      <c r="V31" s="192"/>
      <c r="W31" s="196"/>
      <c r="X31" s="193"/>
      <c r="Y31" s="235"/>
      <c r="Z31" s="580"/>
      <c r="AA31" s="189"/>
      <c r="AB31" s="192"/>
      <c r="AC31" s="196"/>
      <c r="AD31" s="196"/>
      <c r="AE31" s="196"/>
      <c r="AF31" s="193"/>
      <c r="AG31" s="192"/>
      <c r="AH31" s="196"/>
      <c r="AI31" s="196"/>
      <c r="AJ31" s="196"/>
      <c r="AK31" s="193"/>
      <c r="AL31" s="192"/>
      <c r="AM31" s="196"/>
      <c r="AN31" s="196"/>
      <c r="AO31" s="196"/>
      <c r="AP31" s="193"/>
      <c r="AQ31" s="192"/>
      <c r="AR31" s="196"/>
      <c r="AS31" s="196"/>
      <c r="AT31" s="196"/>
      <c r="AU31" s="193"/>
      <c r="AV31" s="189"/>
      <c r="AW31" s="192"/>
      <c r="AX31" s="196"/>
      <c r="AY31" s="196"/>
      <c r="AZ31" s="196"/>
      <c r="BA31" s="193"/>
      <c r="BB31" s="192"/>
      <c r="BC31" s="196"/>
      <c r="BD31" s="196"/>
      <c r="BE31" s="196"/>
      <c r="BF31" s="193"/>
      <c r="BG31" s="192"/>
      <c r="BH31" s="196"/>
      <c r="BI31" s="196"/>
      <c r="BJ31" s="196"/>
      <c r="BK31" s="193"/>
      <c r="BL31" s="192"/>
      <c r="BM31" s="196"/>
      <c r="BN31" s="196"/>
      <c r="BO31" s="196"/>
      <c r="BP31" s="193"/>
      <c r="BQ31" s="235"/>
      <c r="BR31" s="192"/>
      <c r="BS31" s="196"/>
      <c r="BT31" s="196"/>
      <c r="BU31" s="196"/>
      <c r="BV31" s="193"/>
      <c r="BW31" s="192"/>
      <c r="BX31" s="196"/>
      <c r="BY31" s="196"/>
      <c r="BZ31" s="196"/>
      <c r="CA31" s="193"/>
      <c r="CB31" s="192"/>
      <c r="CC31" s="196"/>
      <c r="CD31" s="196"/>
      <c r="CE31" s="196"/>
      <c r="CF31" s="193"/>
      <c r="CG31" s="192"/>
      <c r="CH31" s="196"/>
      <c r="CI31" s="196"/>
      <c r="CJ31" s="196"/>
      <c r="CK31" s="193"/>
    </row>
    <row r="32" spans="1:179" s="57" customFormat="1" ht="9.75" customHeight="1" x14ac:dyDescent="0.15">
      <c r="A32" s="486" t="s">
        <v>220</v>
      </c>
      <c r="B32" s="125"/>
      <c r="C32" s="202"/>
      <c r="D32" s="630"/>
      <c r="E32" s="631"/>
      <c r="F32" s="489"/>
      <c r="G32" s="490"/>
      <c r="H32" s="490"/>
      <c r="I32" s="490"/>
      <c r="J32" s="210"/>
      <c r="K32" s="490"/>
      <c r="L32" s="490"/>
      <c r="M32" s="490"/>
      <c r="N32" s="490"/>
      <c r="O32" s="210"/>
      <c r="P32" s="490"/>
      <c r="Q32" s="490"/>
      <c r="R32" s="490"/>
      <c r="S32" s="490"/>
      <c r="T32" s="236"/>
      <c r="U32" s="232"/>
      <c r="V32" s="237"/>
      <c r="W32" s="210"/>
      <c r="X32" s="238"/>
      <c r="Y32" s="232"/>
      <c r="Z32" s="577"/>
      <c r="AA32" s="618"/>
      <c r="AB32" s="594"/>
      <c r="AC32" s="490"/>
      <c r="AD32" s="490"/>
      <c r="AE32" s="490"/>
      <c r="AF32" s="212"/>
      <c r="AG32" s="594"/>
      <c r="AH32" s="490"/>
      <c r="AI32" s="490"/>
      <c r="AJ32" s="490"/>
      <c r="AK32" s="212"/>
      <c r="AL32" s="594"/>
      <c r="AM32" s="490"/>
      <c r="AN32" s="490"/>
      <c r="AO32" s="490"/>
      <c r="AP32" s="212"/>
      <c r="AQ32" s="594"/>
      <c r="AR32" s="490"/>
      <c r="AS32" s="490"/>
      <c r="AT32" s="490"/>
      <c r="AU32" s="212"/>
      <c r="AV32" s="618"/>
      <c r="AW32" s="594"/>
      <c r="AX32" s="490"/>
      <c r="AY32" s="490"/>
      <c r="AZ32" s="490"/>
      <c r="BA32" s="212"/>
      <c r="BB32" s="594"/>
      <c r="BC32" s="490"/>
      <c r="BD32" s="490"/>
      <c r="BE32" s="490"/>
      <c r="BF32" s="212"/>
      <c r="BG32" s="594"/>
      <c r="BH32" s="490"/>
      <c r="BI32" s="490"/>
      <c r="BJ32" s="490"/>
      <c r="BK32" s="212"/>
      <c r="BL32" s="594"/>
      <c r="BM32" s="490"/>
      <c r="BN32" s="490"/>
      <c r="BO32" s="490"/>
      <c r="BP32" s="212"/>
      <c r="BQ32" s="232"/>
      <c r="BR32" s="594"/>
      <c r="BS32" s="490"/>
      <c r="BT32" s="490"/>
      <c r="BU32" s="490"/>
      <c r="BV32" s="212"/>
      <c r="BW32" s="594"/>
      <c r="BX32" s="490"/>
      <c r="BY32" s="490"/>
      <c r="BZ32" s="490"/>
      <c r="CA32" s="212"/>
      <c r="CB32" s="594"/>
      <c r="CC32" s="490"/>
      <c r="CD32" s="490"/>
      <c r="CE32" s="490"/>
      <c r="CF32" s="212"/>
      <c r="CG32" s="594"/>
      <c r="CH32" s="490"/>
      <c r="CI32" s="490"/>
      <c r="CJ32" s="490"/>
      <c r="CK32" s="212"/>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row>
    <row r="33" spans="1:179" s="57" customFormat="1" ht="9.75" customHeight="1" x14ac:dyDescent="0.15">
      <c r="A33" s="488" t="s">
        <v>153</v>
      </c>
      <c r="B33" s="239">
        <v>0</v>
      </c>
      <c r="C33" s="285">
        <v>0.1</v>
      </c>
      <c r="D33" s="228"/>
      <c r="E33" s="624"/>
      <c r="F33" s="491">
        <f>SUM((IF(ISBLANK(D33),B33,D33))+(F34*(IF(ISBLANK(E33),C33,E33))))</f>
        <v>2000</v>
      </c>
      <c r="G33" s="492">
        <f>SUM((IF(ISBLANK(D33),B33,D33))+(G34*(IF(ISBLANK(E33),C33,E33))))</f>
        <v>2000</v>
      </c>
      <c r="H33" s="492">
        <f>SUM((IF(ISBLANK(D33),B33,D33))+(H34*(IF(ISBLANK(E33),C33,E33))))</f>
        <v>2225.5659361879589</v>
      </c>
      <c r="I33" s="492">
        <f>SUM((IF(ISBLANK(D33),B33,D33))+(I34*(IF(ISBLANK(E33),C33,E33))))</f>
        <v>3205.2979506437546</v>
      </c>
      <c r="J33" s="217">
        <f>SUM(AE33+AJ33+AO33+AT33)</f>
        <v>28292.591660495142</v>
      </c>
      <c r="K33" s="492">
        <f>SUM((IF(ISBLANK(D33),B33,D33))+(K34*(IF(ISBLANK(E33),C33,E33))))</f>
        <v>5517.7335643388178</v>
      </c>
      <c r="L33" s="492">
        <f>SUM((IF(ISBLANK(D33),B33,D33))+(L34*(IF(ISBLANK(E33),C33,E33))))</f>
        <v>9875.3530678390507</v>
      </c>
      <c r="M33" s="492">
        <f>SUM((IF(ISBLANK(D33),B33,D33))+(M34*(IF(ISBLANK(E33),C33,E33))))</f>
        <v>17428.28759672711</v>
      </c>
      <c r="N33" s="492">
        <f>SUM((IF(ISBLANK(D33),B33,D33))+(N34*(IF(ISBLANK(E33),C33,E33))))</f>
        <v>30278.968732172514</v>
      </c>
      <c r="O33" s="217">
        <f>SUM(AZ33+BE33+BJ33+BO33)</f>
        <v>189301.0288832325</v>
      </c>
      <c r="P33" s="492">
        <f>SUM((IF(ISBLANK(D33),B33,D33))+(P34*(IF(ISBLANK(E33),C33,E33))))</f>
        <v>52956.517204110191</v>
      </c>
      <c r="Q33" s="492">
        <f>SUM((IF(ISBLANK(D33),B33,D33))+(Q34*(IF(ISBLANK(E33),C33,E33))))</f>
        <v>91547.47993383967</v>
      </c>
      <c r="R33" s="492">
        <f>SUM((IF(ISBLANK(D33),B33,D33))+(R34*(IF(ISBLANK(E33),C33,E33))))</f>
        <v>157099.98753900011</v>
      </c>
      <c r="S33" s="492">
        <f>SUM((IF(ISBLANK(D33),B33,D33))+(S34*(IF(ISBLANK(E33),C33,E33))))</f>
        <v>266860.77990869118</v>
      </c>
      <c r="T33" s="218">
        <f>SUM(BU33+BZ33+CE33+CJ33)</f>
        <v>1705394.2937569236</v>
      </c>
      <c r="U33" s="221"/>
      <c r="V33" s="239">
        <f>SUM((IF(ISBLANK(D33),B33,D33))+(V34*(IF(ISBLANK(E33),C33,E33))))</f>
        <v>14244588.309886657</v>
      </c>
      <c r="W33" s="217">
        <f>SUM((IF(ISBLANK(D33),B33,D33))+(W34*(IF(ISBLANK(E33),C33,E33))))</f>
        <v>19350886.335712548</v>
      </c>
      <c r="X33" s="242">
        <f>SUM((IF(ISBLANK(D33),B33,D33))+(X34*(IF(ISBLANK(E33),C33,E33))))</f>
        <v>25503891.697283473</v>
      </c>
      <c r="Y33" s="221"/>
      <c r="Z33" s="578">
        <f>SUM(11102+10095+8000)</f>
        <v>29197</v>
      </c>
      <c r="AA33" s="617"/>
      <c r="AB33" s="532">
        <f>F33</f>
        <v>2000</v>
      </c>
      <c r="AC33" s="492">
        <f>F33</f>
        <v>2000</v>
      </c>
      <c r="AD33" s="492">
        <f>F33</f>
        <v>2000</v>
      </c>
      <c r="AE33" s="492">
        <f t="shared" ref="AE33:AE43" si="98">SUM(AB33:AD33)</f>
        <v>6000</v>
      </c>
      <c r="AF33" s="222"/>
      <c r="AG33" s="532">
        <f>G33</f>
        <v>2000</v>
      </c>
      <c r="AH33" s="492">
        <f>G33</f>
        <v>2000</v>
      </c>
      <c r="AI33" s="492">
        <f>G33</f>
        <v>2000</v>
      </c>
      <c r="AJ33" s="492">
        <f t="shared" ref="AJ33:AJ46" si="99">SUM(AG33:AI33)</f>
        <v>6000</v>
      </c>
      <c r="AK33" s="222"/>
      <c r="AL33" s="532">
        <f>H33</f>
        <v>2225.5659361879589</v>
      </c>
      <c r="AM33" s="492">
        <f>H33</f>
        <v>2225.5659361879589</v>
      </c>
      <c r="AN33" s="492">
        <f>H33</f>
        <v>2225.5659361879589</v>
      </c>
      <c r="AO33" s="492">
        <f t="shared" ref="AO33:AO43" si="100">SUM(AL33:AN33)</f>
        <v>6676.6978085638766</v>
      </c>
      <c r="AP33" s="222"/>
      <c r="AQ33" s="532">
        <f>I33</f>
        <v>3205.2979506437546</v>
      </c>
      <c r="AR33" s="492">
        <f>I33</f>
        <v>3205.2979506437546</v>
      </c>
      <c r="AS33" s="492">
        <f>I33</f>
        <v>3205.2979506437546</v>
      </c>
      <c r="AT33" s="492">
        <f t="shared" ref="AT33:AT43" si="101">SUM(AQ33:AS33)</f>
        <v>9615.8938519312633</v>
      </c>
      <c r="AU33" s="222"/>
      <c r="AV33" s="617"/>
      <c r="AW33" s="532">
        <f>K33</f>
        <v>5517.7335643388178</v>
      </c>
      <c r="AX33" s="492">
        <f>K33</f>
        <v>5517.7335643388178</v>
      </c>
      <c r="AY33" s="492">
        <f>K33</f>
        <v>5517.7335643388178</v>
      </c>
      <c r="AZ33" s="492">
        <f t="shared" ref="AZ33:AZ43" si="102">SUM(AW33:AY33)</f>
        <v>16553.200693016453</v>
      </c>
      <c r="BA33" s="222"/>
      <c r="BB33" s="532">
        <f>L33</f>
        <v>9875.3530678390507</v>
      </c>
      <c r="BC33" s="492">
        <f>L33</f>
        <v>9875.3530678390507</v>
      </c>
      <c r="BD33" s="492">
        <f>L33</f>
        <v>9875.3530678390507</v>
      </c>
      <c r="BE33" s="492">
        <f t="shared" ref="BE33:BE43" si="103">SUM(BB33:BD33)</f>
        <v>29626.05920351715</v>
      </c>
      <c r="BF33" s="222"/>
      <c r="BG33" s="532">
        <f>M33</f>
        <v>17428.28759672711</v>
      </c>
      <c r="BH33" s="492">
        <f>M33</f>
        <v>17428.28759672711</v>
      </c>
      <c r="BI33" s="492">
        <f>M33</f>
        <v>17428.28759672711</v>
      </c>
      <c r="BJ33" s="492">
        <f t="shared" ref="BJ33:BJ43" si="104">SUM(BG33:BI33)</f>
        <v>52284.862790181331</v>
      </c>
      <c r="BK33" s="222"/>
      <c r="BL33" s="532">
        <f>N33</f>
        <v>30278.968732172514</v>
      </c>
      <c r="BM33" s="492">
        <f>N33</f>
        <v>30278.968732172514</v>
      </c>
      <c r="BN33" s="492">
        <f>N33</f>
        <v>30278.968732172514</v>
      </c>
      <c r="BO33" s="492">
        <f t="shared" ref="BO33:BO43" si="105">SUM(BL33:BN33)</f>
        <v>90836.90619651755</v>
      </c>
      <c r="BP33" s="222"/>
      <c r="BQ33" s="221"/>
      <c r="BR33" s="532">
        <f>P33</f>
        <v>52956.517204110191</v>
      </c>
      <c r="BS33" s="492">
        <f>P33</f>
        <v>52956.517204110191</v>
      </c>
      <c r="BT33" s="492">
        <f>P33</f>
        <v>52956.517204110191</v>
      </c>
      <c r="BU33" s="492">
        <f t="shared" ref="BU33:BU43" si="106">SUM(BR33:BT33)</f>
        <v>158869.55161233057</v>
      </c>
      <c r="BV33" s="222"/>
      <c r="BW33" s="532">
        <f>Q33</f>
        <v>91547.47993383967</v>
      </c>
      <c r="BX33" s="492">
        <f>Q33</f>
        <v>91547.47993383967</v>
      </c>
      <c r="BY33" s="492">
        <f>Q33</f>
        <v>91547.47993383967</v>
      </c>
      <c r="BZ33" s="492">
        <f t="shared" ref="BZ33:BZ43" si="107">SUM(BW33:BY33)</f>
        <v>274642.43980151904</v>
      </c>
      <c r="CA33" s="222"/>
      <c r="CB33" s="532">
        <f>R33</f>
        <v>157099.98753900011</v>
      </c>
      <c r="CC33" s="492">
        <f>R33</f>
        <v>157099.98753900011</v>
      </c>
      <c r="CD33" s="492">
        <f>R33</f>
        <v>157099.98753900011</v>
      </c>
      <c r="CE33" s="492">
        <f t="shared" ref="CE33:CE43" si="108">SUM(CB33:CD33)</f>
        <v>471299.96261700033</v>
      </c>
      <c r="CF33" s="222"/>
      <c r="CG33" s="532">
        <f>S33</f>
        <v>266860.77990869118</v>
      </c>
      <c r="CH33" s="492">
        <f>S33</f>
        <v>266860.77990869118</v>
      </c>
      <c r="CI33" s="492">
        <f>S33</f>
        <v>266860.77990869118</v>
      </c>
      <c r="CJ33" s="492">
        <f t="shared" ref="CJ33:CJ43" si="109">SUM(CG33:CI33)</f>
        <v>800582.33972607355</v>
      </c>
      <c r="CK33" s="222"/>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row>
    <row r="34" spans="1:179" s="57" customFormat="1" ht="9.75" customHeight="1" x14ac:dyDescent="0.15">
      <c r="A34" s="488" t="s">
        <v>154</v>
      </c>
      <c r="B34" s="167">
        <v>0.2</v>
      </c>
      <c r="C34" s="285">
        <v>-1.4999999999999999E-2</v>
      </c>
      <c r="D34" s="291"/>
      <c r="E34" s="624"/>
      <c r="F34" s="226">
        <v>20000</v>
      </c>
      <c r="G34" s="227">
        <v>20000</v>
      </c>
      <c r="H34" s="492">
        <f>SUM((IF(ISBLANK(D34),B34,D34)*(H30/3))+(G34))</f>
        <v>22255.659361879589</v>
      </c>
      <c r="I34" s="492">
        <f>SUM(IF(ISBLANK(D34),      (IF((1*(IF(ISBLANK(E34),C34,E34)) + B34) &lt; 0,     0,     (1*(IF(ISBLANK(E34),C34,E34)) + B34)   )),       (IF((1*(IF(ISBLANK(E34),C34,E34)) + D34) &lt; 0,     0,     (1*(IF(ISBLANK(E34),C34,E34)) + D34)   ))  )       *   (I30/3)+(H34))</f>
        <v>32052.979506437543</v>
      </c>
      <c r="J34" s="217">
        <f t="shared" ref="J34:J45" si="110">SUM(AE34+AJ34+AO34+AT34)</f>
        <v>282925.91660495137</v>
      </c>
      <c r="K34" s="492">
        <f>SUM(IF(ISBLANK(D34),      (IF((2*(IF(ISBLANK(E34),C34,E34)) + B34) &lt; 0,     0,     (2*(IF(ISBLANK(E34),C34,E34)) + B34)   )),       (IF((2*(IF(ISBLANK(E34),C34,E34)) + D34) &lt; 0,     0,     (2*(IF(ISBLANK(E34),C34,E34)) + D34)   ))  )       *   (K30/3)+(I34))</f>
        <v>55177.335643388171</v>
      </c>
      <c r="L34" s="492">
        <f>SUM(IF(ISBLANK(D34),      (IF((3*(IF(ISBLANK(E34),C34,E34)) + B34) &lt; 0,     0,     (3*(IF(ISBLANK(E34),C34,E34)) + B34)   )),       (IF((3*(IF(ISBLANK(E34),C34,E34)) + D34) &lt; 0,     0,     (3*(IF(ISBLANK(E34),C34,E34)) + D34)   ))  )       *   (L30/3)+(K34))</f>
        <v>98753.530678390496</v>
      </c>
      <c r="M34" s="492">
        <f>SUM(IF(ISBLANK(D34),      (IF((4*(IF(ISBLANK(E34),C34,E34)) + B34) &lt; 0,     0,     (4*(IF(ISBLANK(E34),C34,E34)) + B34)   )),       (IF((4*(IF(ISBLANK(E34),C34,E34)) + D34) &lt; 0,     0,     (4*(IF(ISBLANK(E34),C34,E34)) + D34)   ))  )       *   (M30/3)+(L34))</f>
        <v>174282.8759672711</v>
      </c>
      <c r="N34" s="492">
        <f>SUM(IF(ISBLANK(D34),      (IF((5*(IF(ISBLANK(E34),C34,E34)) + B34) &lt; 0,     0,     (5*(IF(ISBLANK(E34),C34,E34)) + B34)   )),       (IF((5*(IF(ISBLANK(E34),C34,E34)) + D34) &lt; 0,     0,     (5*(IF(ISBLANK(E34),C34,E34)) + D34)   ))  )       *   (N30/3)+(M34))</f>
        <v>302789.68732172513</v>
      </c>
      <c r="O34" s="217">
        <f t="shared" ref="O34:O45" si="111">SUM(AZ34+BE34+BJ34+BO34)</f>
        <v>1893010.2888323248</v>
      </c>
      <c r="P34" s="492">
        <f>SUM(IF(ISBLANK(D34),      (IF((6*(IF(ISBLANK(E34),C34,E34)) + B34) &lt; 0,     0,     (6*(IF(ISBLANK(E34),C34,E34)) + B34)   )),       (IF((6*(IF(ISBLANK(E34),C34,E34)) + D34) &lt; 0,     0,     (6*(IF(ISBLANK(E34),C34,E34)) + D34)   ))  )       *   (P30/3)+(N34))</f>
        <v>529565.17204110185</v>
      </c>
      <c r="Q34" s="492">
        <f>SUM(IF(ISBLANK(D34),      (IF((7*(IF(ISBLANK(E34),C34,E34)) + B34) &lt; 0,     0,     (7*(IF(ISBLANK(E34),C34,E34)) + B34)   )),       (IF((7*(IF(ISBLANK(E34),C34,E34)) + D34) &lt; 0,     0,     (7*(IF(ISBLANK(E34),C34,E34)) + D34)   ))  )       *   (Q30/3)+(P34))</f>
        <v>915474.79933839664</v>
      </c>
      <c r="R34" s="492">
        <f>SUM(IF(ISBLANK(D34),      (IF((8*(IF(ISBLANK(E34),C34,E34)) + B34) &lt; 0,     0,     (8*(IF(ISBLANK(E34),C34,E34)) + B34)   )),       (IF((8*(IF(ISBLANK(E34),C34,E34)) + D34) &lt; 0,     0,     (8*(IF(ISBLANK(E34),C34,E34)) + D34)   ))  )       *   (R30/3)+(Q34))</f>
        <v>1570999.8753900011</v>
      </c>
      <c r="S34" s="492">
        <f>SUM(IF(ISBLANK(D34),      (IF((9*(IF(ISBLANK(E34),C34,E34)) + B34) &lt; 0,     0,     (9*(IF(ISBLANK(E34),C34,E34)) + B34)   )),       (IF((9*(IF(ISBLANK(E34),C34,E34)) + D34) &lt; 0,     0,     (9*(IF(ISBLANK(E34),C34,E34)) + D34)   ))  )       *   (S30/3)+(R34))</f>
        <v>2668607.7990869116</v>
      </c>
      <c r="T34" s="218">
        <f t="shared" ref="T34:T45" si="112">SUM(BU34+BZ34+CE34+CJ34)</f>
        <v>17053942.937569235</v>
      </c>
      <c r="U34" s="221"/>
      <c r="V34" s="239">
        <f>SUM(IF(ISBLANK(D34),      (IF((10*(IF(ISBLANK(E34),C34,E34)) + B34) &lt; 0,     0,     (10*(IF(ISBLANK(E34),C34,E34)) + B34)   )),       (IF((10*(IF(ISBLANK(E34),C34,E34)) + D34) &lt; 0,     0,     (10*(IF(ISBLANK(E34),C34,E34)) + D34)   ))  )       *   (V30/3)+(S34))*12</f>
        <v>142445883.09886655</v>
      </c>
      <c r="W34" s="217">
        <f>SUM(IF(ISBLANK(D34),      (IF((11*(IF(ISBLANK(E34),C34,E34)) + B34) &lt; 0,     0,     (11*(IF(ISBLANK(E34),C34,E34)) + B34)   )),       (IF((11*(IF(ISBLANK(E34),C34,E34)) + D34) &lt; 0,     0,     (11*(IF(ISBLANK(E34),C34,E34)) + D34)   ))  )       *   (W30/12)+(V34/12))*12</f>
        <v>193508863.35712546</v>
      </c>
      <c r="X34" s="242">
        <f>SUM(IF(ISBLANK(D34),      (IF((12*(IF(ISBLANK(E34),C34,E34)) + B34) &lt; 0,     0,     (12*(IF(ISBLANK(E34),C34,E34)) + B34)   )),       (IF((12*(IF(ISBLANK(E34),C34,E34)) + D34) &lt; 0,     0,     (12*(IF(ISBLANK(E34),C34,E34)) + D34)   ))  )       *   (X30/12)+(W34/12))*12</f>
        <v>255038916.97283471</v>
      </c>
      <c r="Y34" s="221"/>
      <c r="Z34" s="578">
        <f>SUM(30664+342396+71683+36198+34170+34090+28752+50203+25449+25629+23773+25295+25295+20000)</f>
        <v>773597</v>
      </c>
      <c r="AA34" s="617"/>
      <c r="AB34" s="532">
        <f t="shared" ref="AB34:AB46" si="113">F34</f>
        <v>20000</v>
      </c>
      <c r="AC34" s="492">
        <f t="shared" ref="AC34:AC46" si="114">F34</f>
        <v>20000</v>
      </c>
      <c r="AD34" s="492">
        <f t="shared" ref="AD34:AD46" si="115">F34</f>
        <v>20000</v>
      </c>
      <c r="AE34" s="492">
        <f t="shared" si="98"/>
        <v>60000</v>
      </c>
      <c r="AF34" s="222"/>
      <c r="AG34" s="532">
        <f t="shared" ref="AG34:AG46" si="116">G34</f>
        <v>20000</v>
      </c>
      <c r="AH34" s="492">
        <f t="shared" ref="AH34:AH46" si="117">G34</f>
        <v>20000</v>
      </c>
      <c r="AI34" s="492">
        <f t="shared" ref="AI34:AI46" si="118">G34</f>
        <v>20000</v>
      </c>
      <c r="AJ34" s="492">
        <f t="shared" si="99"/>
        <v>60000</v>
      </c>
      <c r="AK34" s="222"/>
      <c r="AL34" s="532">
        <f t="shared" ref="AL34:AL46" si="119">H34</f>
        <v>22255.659361879589</v>
      </c>
      <c r="AM34" s="492">
        <f t="shared" ref="AM34:AM46" si="120">H34</f>
        <v>22255.659361879589</v>
      </c>
      <c r="AN34" s="492">
        <f t="shared" ref="AN34:AN46" si="121">H34</f>
        <v>22255.659361879589</v>
      </c>
      <c r="AO34" s="492">
        <f t="shared" si="100"/>
        <v>66766.978085638766</v>
      </c>
      <c r="AP34" s="222"/>
      <c r="AQ34" s="532">
        <f t="shared" ref="AQ34:AQ46" si="122">I34</f>
        <v>32052.979506437543</v>
      </c>
      <c r="AR34" s="492">
        <f t="shared" ref="AR34:AR46" si="123">I34</f>
        <v>32052.979506437543</v>
      </c>
      <c r="AS34" s="492">
        <f t="shared" ref="AS34:AS46" si="124">I34</f>
        <v>32052.979506437543</v>
      </c>
      <c r="AT34" s="492">
        <f t="shared" si="101"/>
        <v>96158.938519312622</v>
      </c>
      <c r="AU34" s="222"/>
      <c r="AV34" s="617"/>
      <c r="AW34" s="532">
        <f t="shared" ref="AW34:AW46" si="125">K34</f>
        <v>55177.335643388171</v>
      </c>
      <c r="AX34" s="492">
        <f t="shared" ref="AX34:AX46" si="126">K34</f>
        <v>55177.335643388171</v>
      </c>
      <c r="AY34" s="492">
        <f t="shared" ref="AY34:AY46" si="127">K34</f>
        <v>55177.335643388171</v>
      </c>
      <c r="AZ34" s="492">
        <f t="shared" si="102"/>
        <v>165532.00693016453</v>
      </c>
      <c r="BA34" s="222"/>
      <c r="BB34" s="532">
        <f t="shared" ref="BB34:BB46" si="128">L34</f>
        <v>98753.530678390496</v>
      </c>
      <c r="BC34" s="492">
        <f t="shared" ref="BC34:BC46" si="129">L34</f>
        <v>98753.530678390496</v>
      </c>
      <c r="BD34" s="492">
        <f t="shared" ref="BD34:BD46" si="130">L34</f>
        <v>98753.530678390496</v>
      </c>
      <c r="BE34" s="492">
        <f t="shared" si="103"/>
        <v>296260.59203517146</v>
      </c>
      <c r="BF34" s="222"/>
      <c r="BG34" s="532">
        <f t="shared" ref="BG34:BG46" si="131">M34</f>
        <v>174282.8759672711</v>
      </c>
      <c r="BH34" s="492">
        <f t="shared" ref="BH34:BH46" si="132">M34</f>
        <v>174282.8759672711</v>
      </c>
      <c r="BI34" s="492">
        <f t="shared" ref="BI34:BI46" si="133">M34</f>
        <v>174282.8759672711</v>
      </c>
      <c r="BJ34" s="492">
        <f t="shared" si="104"/>
        <v>522848.62790181331</v>
      </c>
      <c r="BK34" s="222"/>
      <c r="BL34" s="532">
        <f t="shared" ref="BL34:BL46" si="134">N34</f>
        <v>302789.68732172513</v>
      </c>
      <c r="BM34" s="492">
        <f t="shared" ref="BM34:BM46" si="135">N34</f>
        <v>302789.68732172513</v>
      </c>
      <c r="BN34" s="492">
        <f t="shared" ref="BN34:BN46" si="136">N34</f>
        <v>302789.68732172513</v>
      </c>
      <c r="BO34" s="492">
        <f t="shared" si="105"/>
        <v>908369.06196517544</v>
      </c>
      <c r="BP34" s="222"/>
      <c r="BQ34" s="221"/>
      <c r="BR34" s="532">
        <f t="shared" ref="BR34:BR46" si="137">P34</f>
        <v>529565.17204110185</v>
      </c>
      <c r="BS34" s="492">
        <f t="shared" ref="BS34:BS43" si="138">P34</f>
        <v>529565.17204110185</v>
      </c>
      <c r="BT34" s="492">
        <f t="shared" ref="BT34:BT46" si="139">P34</f>
        <v>529565.17204110185</v>
      </c>
      <c r="BU34" s="492">
        <f t="shared" si="106"/>
        <v>1588695.5161233055</v>
      </c>
      <c r="BV34" s="222"/>
      <c r="BW34" s="532">
        <f t="shared" ref="BW34:BW46" si="140">Q34</f>
        <v>915474.79933839664</v>
      </c>
      <c r="BX34" s="492">
        <f t="shared" ref="BX34:BX46" si="141">Q34</f>
        <v>915474.79933839664</v>
      </c>
      <c r="BY34" s="492">
        <f t="shared" ref="BY34:BY46" si="142">Q34</f>
        <v>915474.79933839664</v>
      </c>
      <c r="BZ34" s="492">
        <f t="shared" si="107"/>
        <v>2746424.3980151899</v>
      </c>
      <c r="CA34" s="222"/>
      <c r="CB34" s="532">
        <f t="shared" ref="CB34:CB46" si="143">R34</f>
        <v>1570999.8753900011</v>
      </c>
      <c r="CC34" s="492">
        <f t="shared" ref="CC34:CC46" si="144">R34</f>
        <v>1570999.8753900011</v>
      </c>
      <c r="CD34" s="492">
        <f t="shared" ref="CD34:CD46" si="145">R34</f>
        <v>1570999.8753900011</v>
      </c>
      <c r="CE34" s="492">
        <f t="shared" si="108"/>
        <v>4712999.6261700038</v>
      </c>
      <c r="CF34" s="222"/>
      <c r="CG34" s="532">
        <f t="shared" ref="CG34:CG46" si="146">S34</f>
        <v>2668607.7990869116</v>
      </c>
      <c r="CH34" s="492">
        <f t="shared" ref="CH34:CH46" si="147">S34</f>
        <v>2668607.7990869116</v>
      </c>
      <c r="CI34" s="492">
        <f t="shared" ref="CI34:CI46" si="148">S34</f>
        <v>2668607.7990869116</v>
      </c>
      <c r="CJ34" s="492">
        <f t="shared" si="109"/>
        <v>8005823.3972607348</v>
      </c>
      <c r="CK34" s="222"/>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row>
    <row r="35" spans="1:179" s="57" customFormat="1" ht="9.75" customHeight="1" x14ac:dyDescent="0.15">
      <c r="A35" s="488" t="s">
        <v>155</v>
      </c>
      <c r="B35" s="239">
        <v>0</v>
      </c>
      <c r="C35" s="285">
        <v>0.02</v>
      </c>
      <c r="D35" s="228"/>
      <c r="E35" s="624"/>
      <c r="F35" s="491">
        <f>SUM((IF(ISBLANK(D35),B35,D35))+(F34*(IF(ISBLANK(E35),C35,E35))))</f>
        <v>400</v>
      </c>
      <c r="G35" s="492">
        <f>SUM((IF(ISBLANK(D35),B35,D35))+(G34*(IF(ISBLANK(E35),C35,E35))))</f>
        <v>400</v>
      </c>
      <c r="H35" s="492">
        <f>SUM((IF(ISBLANK(D35),B35,D35))+(H34*(IF(ISBLANK(E35),C35,E35))))</f>
        <v>445.11318723759177</v>
      </c>
      <c r="I35" s="492">
        <f>SUM((IF(ISBLANK(D35),B35,D35))+(I34*(IF(ISBLANK(E35),C35,E35))))</f>
        <v>641.05959012875087</v>
      </c>
      <c r="J35" s="217">
        <f t="shared" si="110"/>
        <v>5658.5183320990282</v>
      </c>
      <c r="K35" s="492">
        <f>SUM((IF(ISBLANK(D35),B35,D35))+(K34*(IF(ISBLANK(E35),C35,E35))))</f>
        <v>1103.5467128677635</v>
      </c>
      <c r="L35" s="492">
        <f>SUM((IF(ISBLANK(D35),B35,D35))+(L34*(IF(ISBLANK(E35),C35,E35))))</f>
        <v>1975.0706135678099</v>
      </c>
      <c r="M35" s="492">
        <f>SUM((IF(ISBLANK(D35),B35,D35))+(M34*(IF(ISBLANK(E35),C35,E35))))</f>
        <v>3485.6575193454223</v>
      </c>
      <c r="N35" s="492">
        <f>SUM((IF(ISBLANK(D35),B35,D35))+(N34*(IF(ISBLANK(E35),C35,E35))))</f>
        <v>6055.7937464345023</v>
      </c>
      <c r="O35" s="217">
        <f t="shared" si="111"/>
        <v>37860.2057766465</v>
      </c>
      <c r="P35" s="492">
        <f>SUM((IF(ISBLANK(D35),B35,D35))+(P34*(IF(ISBLANK(E35),C35,E35))))</f>
        <v>10591.303440822037</v>
      </c>
      <c r="Q35" s="492">
        <f>SUM((IF(ISBLANK(D35),B35,D35))+(Q34*(IF(ISBLANK(E35),C35,E35))))</f>
        <v>18309.495986767932</v>
      </c>
      <c r="R35" s="492">
        <f>SUM((IF(ISBLANK(D35),B35,D35))+(R34*(IF(ISBLANK(E35),C35,E35))))</f>
        <v>31419.997507800024</v>
      </c>
      <c r="S35" s="492">
        <f>SUM((IF(ISBLANK(D35),B35,D35))+(S34*(IF(ISBLANK(E35),C35,E35))))</f>
        <v>53372.155981738237</v>
      </c>
      <c r="T35" s="218">
        <f t="shared" si="112"/>
        <v>341078.85875138466</v>
      </c>
      <c r="U35" s="221"/>
      <c r="V35" s="239">
        <f>SUM((IF(ISBLANK(D35),B35,D35))+(V34*(IF(ISBLANK(E35),C35,E35))))</f>
        <v>2848917.6619773312</v>
      </c>
      <c r="W35" s="217">
        <f>SUM((IF(ISBLANK(D35),B35,D35))+(W34*(IF(ISBLANK(E35),C35,E35))))</f>
        <v>3870177.2671425091</v>
      </c>
      <c r="X35" s="242">
        <f>SUM((IF(ISBLANK(D35),B35,D35))+(X34*(IF(ISBLANK(E35),C35,E35))))</f>
        <v>5100778.3394566942</v>
      </c>
      <c r="Y35" s="221"/>
      <c r="Z35" s="578">
        <v>4000</v>
      </c>
      <c r="AA35" s="617"/>
      <c r="AB35" s="532">
        <f t="shared" si="113"/>
        <v>400</v>
      </c>
      <c r="AC35" s="492">
        <f t="shared" si="114"/>
        <v>400</v>
      </c>
      <c r="AD35" s="492">
        <f t="shared" si="115"/>
        <v>400</v>
      </c>
      <c r="AE35" s="492">
        <f t="shared" si="98"/>
        <v>1200</v>
      </c>
      <c r="AF35" s="222"/>
      <c r="AG35" s="532">
        <f t="shared" si="116"/>
        <v>400</v>
      </c>
      <c r="AH35" s="492">
        <f t="shared" si="117"/>
        <v>400</v>
      </c>
      <c r="AI35" s="492">
        <f t="shared" si="118"/>
        <v>400</v>
      </c>
      <c r="AJ35" s="492">
        <f t="shared" si="99"/>
        <v>1200</v>
      </c>
      <c r="AK35" s="222"/>
      <c r="AL35" s="532">
        <f t="shared" si="119"/>
        <v>445.11318723759177</v>
      </c>
      <c r="AM35" s="492">
        <f t="shared" si="120"/>
        <v>445.11318723759177</v>
      </c>
      <c r="AN35" s="492">
        <f t="shared" si="121"/>
        <v>445.11318723759177</v>
      </c>
      <c r="AO35" s="492">
        <f t="shared" si="100"/>
        <v>1335.3395617127753</v>
      </c>
      <c r="AP35" s="222"/>
      <c r="AQ35" s="532">
        <f t="shared" si="122"/>
        <v>641.05959012875087</v>
      </c>
      <c r="AR35" s="492">
        <f t="shared" si="123"/>
        <v>641.05959012875087</v>
      </c>
      <c r="AS35" s="492">
        <f t="shared" si="124"/>
        <v>641.05959012875087</v>
      </c>
      <c r="AT35" s="492">
        <f t="shared" si="101"/>
        <v>1923.1787703862526</v>
      </c>
      <c r="AU35" s="222"/>
      <c r="AV35" s="617"/>
      <c r="AW35" s="532">
        <f t="shared" si="125"/>
        <v>1103.5467128677635</v>
      </c>
      <c r="AX35" s="492">
        <f t="shared" si="126"/>
        <v>1103.5467128677635</v>
      </c>
      <c r="AY35" s="492">
        <f t="shared" si="127"/>
        <v>1103.5467128677635</v>
      </c>
      <c r="AZ35" s="492">
        <f t="shared" si="102"/>
        <v>3310.6401386032903</v>
      </c>
      <c r="BA35" s="222"/>
      <c r="BB35" s="532">
        <f t="shared" si="128"/>
        <v>1975.0706135678099</v>
      </c>
      <c r="BC35" s="492">
        <f t="shared" si="129"/>
        <v>1975.0706135678099</v>
      </c>
      <c r="BD35" s="492">
        <f t="shared" si="130"/>
        <v>1975.0706135678099</v>
      </c>
      <c r="BE35" s="492">
        <f t="shared" si="103"/>
        <v>5925.2118407034295</v>
      </c>
      <c r="BF35" s="222"/>
      <c r="BG35" s="532">
        <f t="shared" si="131"/>
        <v>3485.6575193454223</v>
      </c>
      <c r="BH35" s="492">
        <f t="shared" si="132"/>
        <v>3485.6575193454223</v>
      </c>
      <c r="BI35" s="492">
        <f t="shared" si="133"/>
        <v>3485.6575193454223</v>
      </c>
      <c r="BJ35" s="492">
        <f t="shared" si="104"/>
        <v>10456.972558036266</v>
      </c>
      <c r="BK35" s="222"/>
      <c r="BL35" s="532">
        <f t="shared" si="134"/>
        <v>6055.7937464345023</v>
      </c>
      <c r="BM35" s="492">
        <f t="shared" si="135"/>
        <v>6055.7937464345023</v>
      </c>
      <c r="BN35" s="492">
        <f t="shared" si="136"/>
        <v>6055.7937464345023</v>
      </c>
      <c r="BO35" s="492">
        <f t="shared" si="105"/>
        <v>18167.381239303508</v>
      </c>
      <c r="BP35" s="222"/>
      <c r="BQ35" s="221"/>
      <c r="BR35" s="532">
        <f t="shared" si="137"/>
        <v>10591.303440822037</v>
      </c>
      <c r="BS35" s="492">
        <f t="shared" si="138"/>
        <v>10591.303440822037</v>
      </c>
      <c r="BT35" s="492">
        <f t="shared" si="139"/>
        <v>10591.303440822037</v>
      </c>
      <c r="BU35" s="492">
        <f t="shared" si="106"/>
        <v>31773.910322466112</v>
      </c>
      <c r="BV35" s="222"/>
      <c r="BW35" s="532">
        <f t="shared" si="140"/>
        <v>18309.495986767932</v>
      </c>
      <c r="BX35" s="492">
        <f t="shared" si="141"/>
        <v>18309.495986767932</v>
      </c>
      <c r="BY35" s="492">
        <f t="shared" si="142"/>
        <v>18309.495986767932</v>
      </c>
      <c r="BZ35" s="492">
        <f t="shared" si="107"/>
        <v>54928.487960303799</v>
      </c>
      <c r="CA35" s="222"/>
      <c r="CB35" s="532">
        <f t="shared" si="143"/>
        <v>31419.997507800024</v>
      </c>
      <c r="CC35" s="492">
        <f t="shared" si="144"/>
        <v>31419.997507800024</v>
      </c>
      <c r="CD35" s="492">
        <f t="shared" si="145"/>
        <v>31419.997507800024</v>
      </c>
      <c r="CE35" s="492">
        <f t="shared" si="108"/>
        <v>94259.992523400069</v>
      </c>
      <c r="CF35" s="222"/>
      <c r="CG35" s="532">
        <f t="shared" si="146"/>
        <v>53372.155981738237</v>
      </c>
      <c r="CH35" s="492">
        <f t="shared" si="147"/>
        <v>53372.155981738237</v>
      </c>
      <c r="CI35" s="492">
        <f t="shared" si="148"/>
        <v>53372.155981738237</v>
      </c>
      <c r="CJ35" s="492">
        <f t="shared" si="109"/>
        <v>160116.46794521471</v>
      </c>
      <c r="CK35" s="222"/>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row>
    <row r="36" spans="1:179" s="57" customFormat="1" ht="9.75" customHeight="1" x14ac:dyDescent="0.15">
      <c r="A36" s="488" t="s">
        <v>156</v>
      </c>
      <c r="B36" s="239">
        <v>1500</v>
      </c>
      <c r="C36" s="285">
        <v>0.08</v>
      </c>
      <c r="D36" s="228"/>
      <c r="E36" s="624"/>
      <c r="F36" s="491">
        <f>SUM((IF(ISBLANK(D36),B36,D36))+(F34*(IF(ISBLANK(E36),C36,E36))))</f>
        <v>3100</v>
      </c>
      <c r="G36" s="492">
        <f>SUM((IF(ISBLANK(D36),B36,D36))+(G34*(IF(ISBLANK(E36),C36,E36))))</f>
        <v>3100</v>
      </c>
      <c r="H36" s="492">
        <f>SUM((IF(ISBLANK(D36),B36,D36))+(H34*(IF(ISBLANK(E36),C36,E36))))</f>
        <v>3280.4527489503671</v>
      </c>
      <c r="I36" s="492">
        <f>SUM((IF(ISBLANK(D36),B36,D36))+(I34*(IF(ISBLANK(E36),C36,E36))))</f>
        <v>4064.2383605150035</v>
      </c>
      <c r="J36" s="217">
        <f t="shared" si="110"/>
        <v>40634.073328396116</v>
      </c>
      <c r="K36" s="492">
        <f>SUM((IF(ISBLANK(D36),B36,D36))+(K34*(IF(ISBLANK(E36),C36,E36))))</f>
        <v>5914.1868514710541</v>
      </c>
      <c r="L36" s="492">
        <f>SUM((IF(ISBLANK(D36),B36,D36))+(L34*(IF(ISBLANK(E36),C36,E36))))</f>
        <v>9400.2824542712406</v>
      </c>
      <c r="M36" s="492">
        <f>SUM((IF(ISBLANK(D36),B36,D36))+(M34*(IF(ISBLANK(E36),C36,E36))))</f>
        <v>15442.630077381689</v>
      </c>
      <c r="N36" s="492">
        <f>SUM((IF(ISBLANK(D36),B36,D36))+(N34*(IF(ISBLANK(E36),C36,E36))))</f>
        <v>25723.174985738009</v>
      </c>
      <c r="O36" s="217">
        <f t="shared" si="111"/>
        <v>169440.823106586</v>
      </c>
      <c r="P36" s="492">
        <f>SUM((IF(ISBLANK(D36),B36,D36))+(P34*(IF(ISBLANK(E36),C36,E36))))</f>
        <v>43865.213763288149</v>
      </c>
      <c r="Q36" s="492">
        <f>SUM((IF(ISBLANK(D36),B36,D36))+(Q34*(IF(ISBLANK(E36),C36,E36))))</f>
        <v>74737.983947071727</v>
      </c>
      <c r="R36" s="492">
        <f>SUM((IF(ISBLANK(D36),B36,D36))+(R34*(IF(ISBLANK(E36),C36,E36))))</f>
        <v>127179.9900312001</v>
      </c>
      <c r="S36" s="492">
        <f>SUM((IF(ISBLANK(D36),B36,D36))+(S34*(IF(ISBLANK(E36),C36,E36))))</f>
        <v>214988.62392695295</v>
      </c>
      <c r="T36" s="218">
        <f t="shared" si="112"/>
        <v>1382315.4350055386</v>
      </c>
      <c r="U36" s="221"/>
      <c r="V36" s="239">
        <f>SUM((IF(ISBLANK(D36),B36,D36))+(V34*(IF(ISBLANK(E36),C36,E36))))</f>
        <v>11397170.647909325</v>
      </c>
      <c r="W36" s="217">
        <f>SUM((IF(ISBLANK(D36),B36,D36))+(W34*(IF(ISBLANK(E36),C36,E36))))</f>
        <v>15482209.068570036</v>
      </c>
      <c r="X36" s="242">
        <f>SUM((IF(ISBLANK(D36),B36,D36))+(X34*(IF(ISBLANK(E36),C36,E36))))</f>
        <v>20404613.357826777</v>
      </c>
      <c r="Y36" s="221"/>
      <c r="Z36" s="578">
        <f>SUM(3832+10734+12859+20000)</f>
        <v>47425</v>
      </c>
      <c r="AA36" s="617"/>
      <c r="AB36" s="532">
        <f t="shared" si="113"/>
        <v>3100</v>
      </c>
      <c r="AC36" s="492">
        <f t="shared" si="114"/>
        <v>3100</v>
      </c>
      <c r="AD36" s="492">
        <f t="shared" si="115"/>
        <v>3100</v>
      </c>
      <c r="AE36" s="492">
        <f t="shared" si="98"/>
        <v>9300</v>
      </c>
      <c r="AF36" s="222"/>
      <c r="AG36" s="532">
        <f t="shared" si="116"/>
        <v>3100</v>
      </c>
      <c r="AH36" s="492">
        <f t="shared" si="117"/>
        <v>3100</v>
      </c>
      <c r="AI36" s="492">
        <f t="shared" si="118"/>
        <v>3100</v>
      </c>
      <c r="AJ36" s="492">
        <f t="shared" si="99"/>
        <v>9300</v>
      </c>
      <c r="AK36" s="222"/>
      <c r="AL36" s="532">
        <f t="shared" si="119"/>
        <v>3280.4527489503671</v>
      </c>
      <c r="AM36" s="492">
        <f t="shared" si="120"/>
        <v>3280.4527489503671</v>
      </c>
      <c r="AN36" s="492">
        <f t="shared" si="121"/>
        <v>3280.4527489503671</v>
      </c>
      <c r="AO36" s="492">
        <f t="shared" si="100"/>
        <v>9841.3582468511013</v>
      </c>
      <c r="AP36" s="222"/>
      <c r="AQ36" s="532">
        <f t="shared" si="122"/>
        <v>4064.2383605150035</v>
      </c>
      <c r="AR36" s="492">
        <f t="shared" si="123"/>
        <v>4064.2383605150035</v>
      </c>
      <c r="AS36" s="492">
        <f t="shared" si="124"/>
        <v>4064.2383605150035</v>
      </c>
      <c r="AT36" s="492">
        <f t="shared" si="101"/>
        <v>12192.715081545011</v>
      </c>
      <c r="AU36" s="222"/>
      <c r="AV36" s="617"/>
      <c r="AW36" s="532">
        <f t="shared" si="125"/>
        <v>5914.1868514710541</v>
      </c>
      <c r="AX36" s="492">
        <f t="shared" si="126"/>
        <v>5914.1868514710541</v>
      </c>
      <c r="AY36" s="492">
        <f t="shared" si="127"/>
        <v>5914.1868514710541</v>
      </c>
      <c r="AZ36" s="492">
        <f t="shared" si="102"/>
        <v>17742.560554413161</v>
      </c>
      <c r="BA36" s="222"/>
      <c r="BB36" s="532">
        <f t="shared" si="128"/>
        <v>9400.2824542712406</v>
      </c>
      <c r="BC36" s="492">
        <f>L36</f>
        <v>9400.2824542712406</v>
      </c>
      <c r="BD36" s="492">
        <f t="shared" si="130"/>
        <v>9400.2824542712406</v>
      </c>
      <c r="BE36" s="492">
        <f t="shared" si="103"/>
        <v>28200.847362813722</v>
      </c>
      <c r="BF36" s="222"/>
      <c r="BG36" s="532">
        <f t="shared" si="131"/>
        <v>15442.630077381689</v>
      </c>
      <c r="BH36" s="492">
        <f t="shared" si="132"/>
        <v>15442.630077381689</v>
      </c>
      <c r="BI36" s="492">
        <f t="shared" si="133"/>
        <v>15442.630077381689</v>
      </c>
      <c r="BJ36" s="492">
        <f t="shared" si="104"/>
        <v>46327.890232145066</v>
      </c>
      <c r="BK36" s="222"/>
      <c r="BL36" s="532">
        <f t="shared" si="134"/>
        <v>25723.174985738009</v>
      </c>
      <c r="BM36" s="492">
        <f t="shared" si="135"/>
        <v>25723.174985738009</v>
      </c>
      <c r="BN36" s="492">
        <f t="shared" si="136"/>
        <v>25723.174985738009</v>
      </c>
      <c r="BO36" s="492">
        <f t="shared" si="105"/>
        <v>77169.524957214031</v>
      </c>
      <c r="BP36" s="222"/>
      <c r="BQ36" s="221"/>
      <c r="BR36" s="532">
        <f t="shared" si="137"/>
        <v>43865.213763288149</v>
      </c>
      <c r="BS36" s="492">
        <f t="shared" si="138"/>
        <v>43865.213763288149</v>
      </c>
      <c r="BT36" s="492">
        <f t="shared" si="139"/>
        <v>43865.213763288149</v>
      </c>
      <c r="BU36" s="492">
        <f t="shared" si="106"/>
        <v>131595.64128986443</v>
      </c>
      <c r="BV36" s="222"/>
      <c r="BW36" s="532">
        <f t="shared" si="140"/>
        <v>74737.983947071727</v>
      </c>
      <c r="BX36" s="492">
        <f t="shared" si="141"/>
        <v>74737.983947071727</v>
      </c>
      <c r="BY36" s="492">
        <f t="shared" si="142"/>
        <v>74737.983947071727</v>
      </c>
      <c r="BZ36" s="492">
        <f t="shared" si="107"/>
        <v>224213.9518412152</v>
      </c>
      <c r="CA36" s="222"/>
      <c r="CB36" s="532">
        <f t="shared" si="143"/>
        <v>127179.9900312001</v>
      </c>
      <c r="CC36" s="492">
        <f t="shared" si="144"/>
        <v>127179.9900312001</v>
      </c>
      <c r="CD36" s="492">
        <f t="shared" si="145"/>
        <v>127179.9900312001</v>
      </c>
      <c r="CE36" s="492">
        <f t="shared" si="108"/>
        <v>381539.97009360028</v>
      </c>
      <c r="CF36" s="222"/>
      <c r="CG36" s="532">
        <f t="shared" si="146"/>
        <v>214988.62392695295</v>
      </c>
      <c r="CH36" s="492">
        <f t="shared" si="147"/>
        <v>214988.62392695295</v>
      </c>
      <c r="CI36" s="492">
        <f t="shared" si="148"/>
        <v>214988.62392695295</v>
      </c>
      <c r="CJ36" s="492">
        <f t="shared" si="109"/>
        <v>644965.87178085884</v>
      </c>
      <c r="CK36" s="222"/>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row>
    <row r="37" spans="1:179" s="57" customFormat="1" ht="9.75" customHeight="1" x14ac:dyDescent="0.15">
      <c r="A37" s="488" t="s">
        <v>157</v>
      </c>
      <c r="B37" s="145">
        <v>0.3</v>
      </c>
      <c r="C37" s="126">
        <v>-1.4999999999999999E-2</v>
      </c>
      <c r="D37" s="291"/>
      <c r="E37" s="624"/>
      <c r="F37" s="491">
        <f>SUM((IF(AE21*((0*(IF(ISBLANK(E37),C37,E37)))+IF(ISBLANK(D37),B37,D37)) &lt; 0, 0, (AE21*((0*(IF(ISBLANK(E37),C37,E37)))+IF(ISBLANK(D37),B37,D37)))))/3)</f>
        <v>0</v>
      </c>
      <c r="G37" s="492">
        <f>SUM((IF(AJ21*((0*(IF(ISBLANK(E37),C37,E37)))+IF(ISBLANK(D37),B37,D37)) &lt; 0, 0, (AJ21*((0*(IF(ISBLANK(E37),C37,E37)))+IF(ISBLANK(D37),B37,D37)))))/3)</f>
        <v>0</v>
      </c>
      <c r="H37" s="492">
        <f>SUM((IF(AO21*((0*(IF(ISBLANK(E37),C37,E37)))+IF(ISBLANK(D37),B37,D37)) &lt; 0, 0, (AO21*((0*(IF(ISBLANK(E37),C37,E37)))+IF(ISBLANK(D37),B37,D37)))))/3)</f>
        <v>3383.4890428193812</v>
      </c>
      <c r="I37" s="492">
        <f>SUM((IF(AT21*((1*(IF(ISBLANK(E37),C37,E37)))+IF(ISBLANK(D37),B37,D37)) &lt; 0, 0, (AT21*((1*(IF(ISBLANK(E37),C37,E37)))+IF(ISBLANK(D37),B37,D37)))))/3)</f>
        <v>9152.2406985821708</v>
      </c>
      <c r="J37" s="217">
        <f t="shared" si="110"/>
        <v>37607.189224204652</v>
      </c>
      <c r="K37" s="492">
        <f>SUM((IF(AZ21*((2*(IF(ISBLANK(E37),C37,E37)))+IF(ISBLANK(D37),B37,D37)) &lt; 0, 0, (AZ21*((2*(IF(ISBLANK(E37),C37,E37)))+IF(ISBLANK(D37),B37,D37)))))/3)</f>
        <v>17541.214839618387</v>
      </c>
      <c r="L37" s="492">
        <f>SUM((IF(BE21*((3*(IF(ISBLANK(E37),C37,E37)))+IF(ISBLANK(D37),B37,D37)) &lt; 0, 0, (BE21*((3*(IF(ISBLANK(E37),C37,E37)))+IF(ISBLANK(D37),B37,D37)))))/3)</f>
        <v>29592.911144362977</v>
      </c>
      <c r="M37" s="492">
        <f>SUM((IF(BJ21*((4*(IF(ISBLANK(E37),C37,E37)))+IF(ISBLANK(D37),B37,D37)) &lt; 0, 0, (BJ21*((4*(IF(ISBLANK(E37),C37,E37)))+IF(ISBLANK(D37),B37,D37)))))/3)</f>
        <v>48092.15455128724</v>
      </c>
      <c r="N37" s="492">
        <f>SUM((IF(BO21*((5*(IF(ISBLANK(E37),C37,E37)))+IF(ISBLANK(D37),B37,D37)) &lt; 0, 0, (BO21*((5*(IF(ISBLANK(E37),C37,E37)))+IF(ISBLANK(D37),B37,D37)))))/3)</f>
        <v>79280.411843675276</v>
      </c>
      <c r="O37" s="217">
        <f t="shared" si="111"/>
        <v>523520.07713683159</v>
      </c>
      <c r="P37" s="492">
        <f>SUM((IF(BU21*((6*(IF(ISBLANK(E37),C37,E37)))+IF(ISBLANK(D37),B37,D37)) &lt; 0, 0, (BU21*((6*(IF(ISBLANK(E37),C37,E37)))+IF(ISBLANK(D37),B37,D37)))))/3)</f>
        <v>133210.77424075271</v>
      </c>
      <c r="Q37" s="492">
        <f>SUM((IF(BZ21*((7*(IF(ISBLANK(E37),C37,E37)))+IF(ISBLANK(D37),B37,D37)) &lt; 0, 0, (BZ21*((7*(IF(ISBLANK(E37),C37,E37)))+IF(ISBLANK(D37),B37,D37)))))/3)</f>
        <v>227967.72812038779</v>
      </c>
      <c r="R37" s="492">
        <f>SUM((IF(CE21*((8*(IF(ISBLANK(E37),C37,E37)))+IF(ISBLANK(D37),B37,D37)) &lt; 0, 0, (CE21*((8*(IF(ISBLANK(E37),C37,E37)))+IF(ISBLANK(D37),B37,D37)))))/3)</f>
        <v>401909.33326043078</v>
      </c>
      <c r="S37" s="492">
        <f>SUM((IF(CJ21*((9*(IF(ISBLANK(E37),C37,E37)))+IF(ISBLANK(D37),B37,D37)) &lt; 0, 0, (CJ21*((9*(IF(ISBLANK(E37),C37,E37)))+IF(ISBLANK(D37),B37,D37)))))/3)</f>
        <v>725448.41323392035</v>
      </c>
      <c r="T37" s="218">
        <f t="shared" si="112"/>
        <v>4465608.7465664744</v>
      </c>
      <c r="U37" s="221"/>
      <c r="V37" s="239">
        <f>SUM((IF((V21*V18)*((10*(IF(ISBLANK(E37),C37,E37)))+IF(ISBLANK(D37),B37,D37)) &lt; 0, 0, ((V21*V18)*((10*(IF(ISBLANK(E37),C37,E37)))+IF(ISBLANK(D37),B37,D37))))))</f>
        <v>29568983.243735377</v>
      </c>
      <c r="W37" s="217">
        <f>SUM((IF((W21*W18)*((10*(IF(ISBLANK(E37),C37,E37)))+IF(ISBLANK(D37),B37,D37)) &lt; 0, 0, ((W21*W18)*((10*(IF(ISBLANK(E37),C37,E37)))+IF(ISBLANK(D37),B37,D37))))))</f>
        <v>67681637.60781692</v>
      </c>
      <c r="X37" s="242">
        <f>SUM((IF((X21*X18)*((10*(IF(ISBLANK(E37),C37,E37)))+IF(ISBLANK(D37),B37,D37)) &lt; 0, 0, ((X21*X18)*((10*(IF(ISBLANK(E37),C37,E37)))+IF(ISBLANK(D37),B37,D37))))))</f>
        <v>128804697.8844786</v>
      </c>
      <c r="Y37" s="221"/>
      <c r="Z37" s="578">
        <v>0</v>
      </c>
      <c r="AA37" s="617"/>
      <c r="AB37" s="532">
        <f t="shared" si="113"/>
        <v>0</v>
      </c>
      <c r="AC37" s="492">
        <f t="shared" si="114"/>
        <v>0</v>
      </c>
      <c r="AD37" s="492">
        <f t="shared" si="115"/>
        <v>0</v>
      </c>
      <c r="AE37" s="492">
        <f>SUM(AB37:AD37)</f>
        <v>0</v>
      </c>
      <c r="AF37" s="222"/>
      <c r="AG37" s="532">
        <f t="shared" si="116"/>
        <v>0</v>
      </c>
      <c r="AH37" s="492">
        <f t="shared" si="117"/>
        <v>0</v>
      </c>
      <c r="AI37" s="492">
        <f t="shared" si="118"/>
        <v>0</v>
      </c>
      <c r="AJ37" s="492">
        <f>SUM(AG37:AI37)</f>
        <v>0</v>
      </c>
      <c r="AK37" s="222"/>
      <c r="AL37" s="532">
        <f t="shared" si="119"/>
        <v>3383.4890428193812</v>
      </c>
      <c r="AM37" s="492">
        <f t="shared" si="120"/>
        <v>3383.4890428193812</v>
      </c>
      <c r="AN37" s="492">
        <f t="shared" si="121"/>
        <v>3383.4890428193812</v>
      </c>
      <c r="AO37" s="492">
        <f>SUM(AL37:AN37)</f>
        <v>10150.467128458144</v>
      </c>
      <c r="AP37" s="222"/>
      <c r="AQ37" s="532">
        <f t="shared" si="122"/>
        <v>9152.2406985821708</v>
      </c>
      <c r="AR37" s="492">
        <f t="shared" si="123"/>
        <v>9152.2406985821708</v>
      </c>
      <c r="AS37" s="492">
        <f t="shared" si="124"/>
        <v>9152.2406985821708</v>
      </c>
      <c r="AT37" s="492">
        <f>SUM(AQ37:AS37)</f>
        <v>27456.722095746511</v>
      </c>
      <c r="AU37" s="222"/>
      <c r="AV37" s="617"/>
      <c r="AW37" s="532">
        <f t="shared" si="125"/>
        <v>17541.214839618387</v>
      </c>
      <c r="AX37" s="492">
        <f t="shared" si="126"/>
        <v>17541.214839618387</v>
      </c>
      <c r="AY37" s="492">
        <f t="shared" si="127"/>
        <v>17541.214839618387</v>
      </c>
      <c r="AZ37" s="492">
        <f>SUM(AW37:AY37)</f>
        <v>52623.644518855159</v>
      </c>
      <c r="BA37" s="222"/>
      <c r="BB37" s="532">
        <f t="shared" si="128"/>
        <v>29592.911144362977</v>
      </c>
      <c r="BC37" s="492">
        <f>L37</f>
        <v>29592.911144362977</v>
      </c>
      <c r="BD37" s="492">
        <f t="shared" si="130"/>
        <v>29592.911144362977</v>
      </c>
      <c r="BE37" s="492">
        <f>SUM(BB37:BD37)</f>
        <v>88778.733433088928</v>
      </c>
      <c r="BF37" s="222"/>
      <c r="BG37" s="532">
        <f t="shared" si="131"/>
        <v>48092.15455128724</v>
      </c>
      <c r="BH37" s="492">
        <f t="shared" si="132"/>
        <v>48092.15455128724</v>
      </c>
      <c r="BI37" s="492">
        <f t="shared" si="133"/>
        <v>48092.15455128724</v>
      </c>
      <c r="BJ37" s="492">
        <f>SUM(BG37:BI37)</f>
        <v>144276.46365386172</v>
      </c>
      <c r="BK37" s="222"/>
      <c r="BL37" s="532">
        <f t="shared" si="134"/>
        <v>79280.411843675276</v>
      </c>
      <c r="BM37" s="492">
        <f t="shared" si="135"/>
        <v>79280.411843675276</v>
      </c>
      <c r="BN37" s="492">
        <f t="shared" si="136"/>
        <v>79280.411843675276</v>
      </c>
      <c r="BO37" s="492">
        <f>SUM(BL37:BN37)</f>
        <v>237841.23553102583</v>
      </c>
      <c r="BP37" s="222"/>
      <c r="BQ37" s="221"/>
      <c r="BR37" s="532">
        <f t="shared" si="137"/>
        <v>133210.77424075271</v>
      </c>
      <c r="BS37" s="492">
        <f t="shared" si="138"/>
        <v>133210.77424075271</v>
      </c>
      <c r="BT37" s="492">
        <f t="shared" si="139"/>
        <v>133210.77424075271</v>
      </c>
      <c r="BU37" s="492">
        <f>SUM(BR37:BT37)</f>
        <v>399632.32272225816</v>
      </c>
      <c r="BV37" s="222"/>
      <c r="BW37" s="532">
        <f t="shared" si="140"/>
        <v>227967.72812038779</v>
      </c>
      <c r="BX37" s="492">
        <f t="shared" si="141"/>
        <v>227967.72812038779</v>
      </c>
      <c r="BY37" s="492">
        <f t="shared" si="142"/>
        <v>227967.72812038779</v>
      </c>
      <c r="BZ37" s="492">
        <f>SUM(BW37:BY37)</f>
        <v>683903.18436116341</v>
      </c>
      <c r="CA37" s="222"/>
      <c r="CB37" s="532">
        <f t="shared" si="143"/>
        <v>401909.33326043078</v>
      </c>
      <c r="CC37" s="492">
        <f t="shared" si="144"/>
        <v>401909.33326043078</v>
      </c>
      <c r="CD37" s="492">
        <f t="shared" si="145"/>
        <v>401909.33326043078</v>
      </c>
      <c r="CE37" s="492">
        <f>SUM(CB37:CD37)</f>
        <v>1205727.9997812924</v>
      </c>
      <c r="CF37" s="222"/>
      <c r="CG37" s="532">
        <f t="shared" si="146"/>
        <v>725448.41323392035</v>
      </c>
      <c r="CH37" s="492">
        <f t="shared" si="147"/>
        <v>725448.41323392035</v>
      </c>
      <c r="CI37" s="492">
        <f t="shared" si="148"/>
        <v>725448.41323392035</v>
      </c>
      <c r="CJ37" s="492">
        <f>SUM(CG37:CI37)</f>
        <v>2176345.2397017609</v>
      </c>
      <c r="CK37" s="222"/>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row>
    <row r="38" spans="1:179" s="57" customFormat="1" ht="9.75" customHeight="1" x14ac:dyDescent="0.15">
      <c r="A38" s="488" t="s">
        <v>158</v>
      </c>
      <c r="B38" s="239">
        <v>3000</v>
      </c>
      <c r="C38" s="218">
        <v>5000</v>
      </c>
      <c r="D38" s="228"/>
      <c r="E38" s="229"/>
      <c r="F38" s="491">
        <f>SUM((IF(ISBLANK(D38),B38,D38)))</f>
        <v>3000</v>
      </c>
      <c r="G38" s="492">
        <f>SUM((IF(ISBLANK(D38),B38,D38)))</f>
        <v>3000</v>
      </c>
      <c r="H38" s="492">
        <f>SUM((IF(ISBLANK(D38),B38,D38)))</f>
        <v>3000</v>
      </c>
      <c r="I38" s="492">
        <f>SUM((IF(ISBLANK(D38),B38,D38)))</f>
        <v>3000</v>
      </c>
      <c r="J38" s="217">
        <f t="shared" si="110"/>
        <v>36000</v>
      </c>
      <c r="K38" s="492">
        <f>SUM((IF(ISBLANK(D38),B38,D38))+(IF(ISBLANK(E38),C38,E38)))</f>
        <v>8000</v>
      </c>
      <c r="L38" s="492">
        <f>SUM((IF(ISBLANK(D38),B38,D38))+(IF(ISBLANK(E38),C38,E38)))</f>
        <v>8000</v>
      </c>
      <c r="M38" s="492">
        <f>SUM((IF(ISBLANK(D38),B38,D38))+(IF(ISBLANK(E38),C38,E38)))</f>
        <v>8000</v>
      </c>
      <c r="N38" s="492">
        <f>SUM((IF(ISBLANK(D38),B38,D38))+(IF(ISBLANK(E38),C38,E38)))</f>
        <v>8000</v>
      </c>
      <c r="O38" s="217">
        <f t="shared" si="111"/>
        <v>96000</v>
      </c>
      <c r="P38" s="492">
        <f>SUM((IF(ISBLANK(D38),B38,D38))+(IF(ISBLANK(E38),C38,E38)))</f>
        <v>8000</v>
      </c>
      <c r="Q38" s="492">
        <f>SUM((IF(ISBLANK(D38),B38,D38))+(IF(ISBLANK(E38),C38,E38)))</f>
        <v>8000</v>
      </c>
      <c r="R38" s="492">
        <f>SUM((IF(ISBLANK(D38),B38,D38))+(IF(ISBLANK(E38),C38,E38)))</f>
        <v>8000</v>
      </c>
      <c r="S38" s="492">
        <f>SUM((IF(ISBLANK(D38),B38,D38))+(IF(ISBLANK(E38),C38,E38)))</f>
        <v>8000</v>
      </c>
      <c r="T38" s="218">
        <f t="shared" si="112"/>
        <v>96000</v>
      </c>
      <c r="U38" s="221"/>
      <c r="V38" s="239">
        <f>SUM(S38*12)</f>
        <v>96000</v>
      </c>
      <c r="W38" s="217">
        <f>SUM(S38*12)</f>
        <v>96000</v>
      </c>
      <c r="X38" s="242">
        <f>SUM(S38*12)</f>
        <v>96000</v>
      </c>
      <c r="Y38" s="221"/>
      <c r="Z38" s="578">
        <v>45000</v>
      </c>
      <c r="AA38" s="617"/>
      <c r="AB38" s="532">
        <f t="shared" si="113"/>
        <v>3000</v>
      </c>
      <c r="AC38" s="492">
        <f t="shared" si="114"/>
        <v>3000</v>
      </c>
      <c r="AD38" s="492">
        <f t="shared" si="115"/>
        <v>3000</v>
      </c>
      <c r="AE38" s="492">
        <f t="shared" si="98"/>
        <v>9000</v>
      </c>
      <c r="AF38" s="222"/>
      <c r="AG38" s="532">
        <f t="shared" si="116"/>
        <v>3000</v>
      </c>
      <c r="AH38" s="492">
        <f t="shared" si="117"/>
        <v>3000</v>
      </c>
      <c r="AI38" s="492">
        <f t="shared" si="118"/>
        <v>3000</v>
      </c>
      <c r="AJ38" s="492">
        <f t="shared" si="99"/>
        <v>9000</v>
      </c>
      <c r="AK38" s="222"/>
      <c r="AL38" s="532">
        <f t="shared" si="119"/>
        <v>3000</v>
      </c>
      <c r="AM38" s="492">
        <f t="shared" si="120"/>
        <v>3000</v>
      </c>
      <c r="AN38" s="492">
        <f t="shared" si="121"/>
        <v>3000</v>
      </c>
      <c r="AO38" s="492">
        <f t="shared" si="100"/>
        <v>9000</v>
      </c>
      <c r="AP38" s="222"/>
      <c r="AQ38" s="532">
        <f t="shared" si="122"/>
        <v>3000</v>
      </c>
      <c r="AR38" s="492">
        <f t="shared" si="123"/>
        <v>3000</v>
      </c>
      <c r="AS38" s="492">
        <f t="shared" si="124"/>
        <v>3000</v>
      </c>
      <c r="AT38" s="492">
        <f t="shared" si="101"/>
        <v>9000</v>
      </c>
      <c r="AU38" s="222"/>
      <c r="AV38" s="617"/>
      <c r="AW38" s="532">
        <f t="shared" si="125"/>
        <v>8000</v>
      </c>
      <c r="AX38" s="492">
        <f t="shared" si="126"/>
        <v>8000</v>
      </c>
      <c r="AY38" s="492">
        <f t="shared" si="127"/>
        <v>8000</v>
      </c>
      <c r="AZ38" s="492">
        <f t="shared" si="102"/>
        <v>24000</v>
      </c>
      <c r="BA38" s="222"/>
      <c r="BB38" s="532">
        <f t="shared" si="128"/>
        <v>8000</v>
      </c>
      <c r="BC38" s="492">
        <f t="shared" si="129"/>
        <v>8000</v>
      </c>
      <c r="BD38" s="492">
        <f t="shared" si="130"/>
        <v>8000</v>
      </c>
      <c r="BE38" s="492">
        <f t="shared" si="103"/>
        <v>24000</v>
      </c>
      <c r="BF38" s="222"/>
      <c r="BG38" s="532">
        <f t="shared" si="131"/>
        <v>8000</v>
      </c>
      <c r="BH38" s="492">
        <f t="shared" si="132"/>
        <v>8000</v>
      </c>
      <c r="BI38" s="492">
        <f t="shared" si="133"/>
        <v>8000</v>
      </c>
      <c r="BJ38" s="492">
        <f t="shared" si="104"/>
        <v>24000</v>
      </c>
      <c r="BK38" s="222"/>
      <c r="BL38" s="532">
        <f t="shared" si="134"/>
        <v>8000</v>
      </c>
      <c r="BM38" s="492">
        <f t="shared" si="135"/>
        <v>8000</v>
      </c>
      <c r="BN38" s="492">
        <f t="shared" si="136"/>
        <v>8000</v>
      </c>
      <c r="BO38" s="492">
        <f t="shared" si="105"/>
        <v>24000</v>
      </c>
      <c r="BP38" s="222"/>
      <c r="BQ38" s="221"/>
      <c r="BR38" s="532">
        <f t="shared" si="137"/>
        <v>8000</v>
      </c>
      <c r="BS38" s="492">
        <f t="shared" si="138"/>
        <v>8000</v>
      </c>
      <c r="BT38" s="492">
        <f t="shared" si="139"/>
        <v>8000</v>
      </c>
      <c r="BU38" s="492">
        <f t="shared" si="106"/>
        <v>24000</v>
      </c>
      <c r="BV38" s="222"/>
      <c r="BW38" s="532">
        <f t="shared" si="140"/>
        <v>8000</v>
      </c>
      <c r="BX38" s="492">
        <f t="shared" si="141"/>
        <v>8000</v>
      </c>
      <c r="BY38" s="492">
        <f t="shared" si="142"/>
        <v>8000</v>
      </c>
      <c r="BZ38" s="492">
        <f t="shared" si="107"/>
        <v>24000</v>
      </c>
      <c r="CA38" s="222"/>
      <c r="CB38" s="532">
        <f t="shared" si="143"/>
        <v>8000</v>
      </c>
      <c r="CC38" s="492">
        <f t="shared" si="144"/>
        <v>8000</v>
      </c>
      <c r="CD38" s="492">
        <f t="shared" si="145"/>
        <v>8000</v>
      </c>
      <c r="CE38" s="492">
        <f t="shared" si="108"/>
        <v>24000</v>
      </c>
      <c r="CF38" s="222"/>
      <c r="CG38" s="532">
        <f t="shared" si="146"/>
        <v>8000</v>
      </c>
      <c r="CH38" s="492">
        <f t="shared" si="147"/>
        <v>8000</v>
      </c>
      <c r="CI38" s="492">
        <f t="shared" si="148"/>
        <v>8000</v>
      </c>
      <c r="CJ38" s="492">
        <f t="shared" si="109"/>
        <v>24000</v>
      </c>
      <c r="CK38" s="222"/>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row>
    <row r="39" spans="1:179" s="57" customFormat="1" ht="9.75" customHeight="1" x14ac:dyDescent="0.15">
      <c r="A39" s="488" t="s">
        <v>193</v>
      </c>
      <c r="B39" s="145">
        <v>0.2</v>
      </c>
      <c r="C39" s="126">
        <v>0</v>
      </c>
      <c r="D39" s="291"/>
      <c r="E39" s="624"/>
      <c r="F39" s="226">
        <v>0</v>
      </c>
      <c r="G39" s="492">
        <f>IF(IF(F30&gt;0,F30*((0*(IF(ISBLANK(E39),C39,E39)))+(IF(ISBLANK(D39),B39,D39))),0)&lt;0,0,IF(F30&gt;0,F30*((0*(IF(ISBLANK(E39),C39,E39)))+(IF(ISBLANK(D39),B39,D39))),0))/3</f>
        <v>0</v>
      </c>
      <c r="H39" s="492">
        <f>IF(IF(G30&gt;0,G30*((0*(IF(ISBLANK(E39),C39,E39)))+(IF(ISBLANK(D39),B39,D39))),0)&lt;0,0,IF(G30&gt;0,G30*((0*(IF(ISBLANK(E39),C39,E39)))+(IF(ISBLANK(D39),B39,D39))),0))/3</f>
        <v>0</v>
      </c>
      <c r="I39" s="492">
        <f>IF(IF(H30&gt;0,H30*((1*(IF(ISBLANK(E39),C39,E39)))+(IF(ISBLANK(D39),B39,D39))),0)&lt;0,0,IF(H30&gt;0,H30*((1*(IF(ISBLANK(E39),C39,E39)))+(IF(ISBLANK(D39),B39,D39))),0))/3</f>
        <v>2255.6593618795878</v>
      </c>
      <c r="J39" s="217">
        <f t="shared" si="110"/>
        <v>6766.9780856387633</v>
      </c>
      <c r="K39" s="492">
        <f>IF(IF(I30&gt;0,I30*((2*(IF(ISBLANK(E39),C39,E39)))+(IF(ISBLANK(D39),B39,D39))),0)&lt;0,0,IF(I30&gt;0,I30*((2*(IF(ISBLANK(E39),C39,E39)))+(IF(ISBLANK(D39),B39,D39))),0))/3</f>
        <v>10591.697453576166</v>
      </c>
      <c r="L39" s="492">
        <f>IF(IF(K30&gt;0,K30*((3*(IF(ISBLANK(E39),C39,E39)))+(IF(ISBLANK(D39),B39,D39))),0)&lt;0,0,IF(K30&gt;0,K30*((3*(IF(ISBLANK(E39),C39,E39)))+(IF(ISBLANK(D39),B39,D39))),0))/3</f>
        <v>27205.124867000737</v>
      </c>
      <c r="M39" s="492">
        <f>IF(IF(L30&gt;0,L30*((4*(IF(ISBLANK(E39),C39,E39)))+(IF(ISBLANK(D39),B39,D39))),0)&lt;0,0,IF(L30&gt;0,L30*((4*(IF(ISBLANK(E39),C39,E39)))+(IF(ISBLANK(D39),B39,D39))),0))/3</f>
        <v>56227.348432261068</v>
      </c>
      <c r="N39" s="492">
        <f>IF(IF(M30&gt;0,M30*((5*(IF(ISBLANK(E39),C39,E39)))+(IF(ISBLANK(D39),B39,D39))),0)&lt;0,0,IF(M30&gt;0,M30*((5*(IF(ISBLANK(E39),C39,E39)))+(IF(ISBLANK(D39),B39,D39))),0))/3</f>
        <v>107899.06469840085</v>
      </c>
      <c r="O39" s="217">
        <f t="shared" si="111"/>
        <v>605769.70635371655</v>
      </c>
      <c r="P39" s="492">
        <f>IF(IF(N30&gt;0,N30*((6*(IF(ISBLANK(E39),C39,E39)))+(IF(ISBLANK(D39),B39,D39))),0)&lt;0,0,IF(N30&gt;0,N30*((6*(IF(ISBLANK(E39),C39,E39)))+(IF(ISBLANK(D39),B39,D39))),0))/3</f>
        <v>205610.89816712646</v>
      </c>
      <c r="Q39" s="492">
        <f>IF(IF(P30&gt;0,P30*((7*(IF(ISBLANK(E39),C39,E39)))+(IF(ISBLANK(D39),B39,D39))),0)&lt;0,0,IF(P30&gt;0,P30*((7*(IF(ISBLANK(E39),C39,E39)))+(IF(ISBLANK(D39),B39,D39))),0))/3</f>
        <v>412319.06312613934</v>
      </c>
      <c r="R39" s="492">
        <f>IF(IF(Q30&gt;0,Q30*((8*(IF(ISBLANK(E39),C39,E39)))+(IF(ISBLANK(D39),B39,D39))),0)&lt;0,0,IF(Q30&gt;0,Q30*((8*(IF(ISBLANK(E39),C39,E39)))+(IF(ISBLANK(D39),B39,D39))),0))/3</f>
        <v>812441.32062588364</v>
      </c>
      <c r="S39" s="492">
        <f>IF(IF(R30&gt;0,R30*((9*(IF(ISBLANK(E39),C39,E39)))+(IF(ISBLANK(D39),B39,D39))),0)&lt;0,0,IF(R30&gt;0,R30*((9*(IF(ISBLANK(E39),C39,E39)))+(IF(ISBLANK(D39),B39,D39))),0))/3</f>
        <v>1638812.6901290107</v>
      </c>
      <c r="T39" s="218">
        <f t="shared" si="112"/>
        <v>9207551.9161444809</v>
      </c>
      <c r="U39" s="221"/>
      <c r="V39" s="239">
        <f>SUM((V30*(IF(ISBLANK(D39),B39,D39)+(10*IF(ISBLANK(E39),C39,E39))))+(S30*(IF(ISBLANK(D39),B39,D39)+(10*IF(ISBLANK(E39),C39,E39)))))</f>
        <v>120554354.95933354</v>
      </c>
      <c r="W39" s="217">
        <f>SUM((W30*(IF(ISBLANK(D39),B39,D39)+(11*IF(ISBLANK(E39),C39,E39)))))</f>
        <v>291788458.61862206</v>
      </c>
      <c r="X39" s="242">
        <f>SUM((X30*(IF(ISBLANK(D39),B39,D39)+(12*IF(ISBLANK(E39),C39,E39)))))</f>
        <v>615300536.15709198</v>
      </c>
      <c r="Y39" s="221"/>
      <c r="Z39" s="578">
        <v>0</v>
      </c>
      <c r="AA39" s="617"/>
      <c r="AB39" s="532">
        <f>F39</f>
        <v>0</v>
      </c>
      <c r="AC39" s="492">
        <f>F39</f>
        <v>0</v>
      </c>
      <c r="AD39" s="492">
        <f>F39</f>
        <v>0</v>
      </c>
      <c r="AE39" s="492">
        <f t="shared" si="98"/>
        <v>0</v>
      </c>
      <c r="AF39" s="222"/>
      <c r="AG39" s="532">
        <f>G39</f>
        <v>0</v>
      </c>
      <c r="AH39" s="492">
        <f>G39</f>
        <v>0</v>
      </c>
      <c r="AI39" s="492">
        <f>G39</f>
        <v>0</v>
      </c>
      <c r="AJ39" s="492">
        <f t="shared" si="99"/>
        <v>0</v>
      </c>
      <c r="AK39" s="222"/>
      <c r="AL39" s="532">
        <f>H39</f>
        <v>0</v>
      </c>
      <c r="AM39" s="492">
        <f>H39</f>
        <v>0</v>
      </c>
      <c r="AN39" s="492">
        <f>H39</f>
        <v>0</v>
      </c>
      <c r="AO39" s="492">
        <f t="shared" si="100"/>
        <v>0</v>
      </c>
      <c r="AP39" s="222"/>
      <c r="AQ39" s="532">
        <f>I39</f>
        <v>2255.6593618795878</v>
      </c>
      <c r="AR39" s="492">
        <f>I39</f>
        <v>2255.6593618795878</v>
      </c>
      <c r="AS39" s="492">
        <f>I39</f>
        <v>2255.6593618795878</v>
      </c>
      <c r="AT39" s="492">
        <f t="shared" si="101"/>
        <v>6766.9780856387633</v>
      </c>
      <c r="AU39" s="222"/>
      <c r="AV39" s="617"/>
      <c r="AW39" s="532">
        <f>K39</f>
        <v>10591.697453576166</v>
      </c>
      <c r="AX39" s="492">
        <f>K39</f>
        <v>10591.697453576166</v>
      </c>
      <c r="AY39" s="492">
        <f>K39</f>
        <v>10591.697453576166</v>
      </c>
      <c r="AZ39" s="492">
        <f t="shared" si="102"/>
        <v>31775.092360728497</v>
      </c>
      <c r="BA39" s="222"/>
      <c r="BB39" s="532">
        <f>L39</f>
        <v>27205.124867000737</v>
      </c>
      <c r="BC39" s="492">
        <f>L39</f>
        <v>27205.124867000737</v>
      </c>
      <c r="BD39" s="492">
        <f>L39</f>
        <v>27205.124867000737</v>
      </c>
      <c r="BE39" s="492">
        <f t="shared" si="103"/>
        <v>81615.374601002215</v>
      </c>
      <c r="BF39" s="222"/>
      <c r="BG39" s="532">
        <f>M39</f>
        <v>56227.348432261068</v>
      </c>
      <c r="BH39" s="492">
        <f>M39</f>
        <v>56227.348432261068</v>
      </c>
      <c r="BI39" s="492">
        <f>M39</f>
        <v>56227.348432261068</v>
      </c>
      <c r="BJ39" s="492">
        <f t="shared" si="104"/>
        <v>168682.04529678321</v>
      </c>
      <c r="BK39" s="222"/>
      <c r="BL39" s="532">
        <f>N39</f>
        <v>107899.06469840085</v>
      </c>
      <c r="BM39" s="492">
        <f>N39</f>
        <v>107899.06469840085</v>
      </c>
      <c r="BN39" s="492">
        <f>N39</f>
        <v>107899.06469840085</v>
      </c>
      <c r="BO39" s="492">
        <f t="shared" si="105"/>
        <v>323697.19409520255</v>
      </c>
      <c r="BP39" s="222"/>
      <c r="BQ39" s="221"/>
      <c r="BR39" s="532">
        <f>P39</f>
        <v>205610.89816712646</v>
      </c>
      <c r="BS39" s="492">
        <f>P39</f>
        <v>205610.89816712646</v>
      </c>
      <c r="BT39" s="492">
        <f>P39</f>
        <v>205610.89816712646</v>
      </c>
      <c r="BU39" s="492">
        <f t="shared" si="106"/>
        <v>616832.69450137939</v>
      </c>
      <c r="BV39" s="222"/>
      <c r="BW39" s="532">
        <f>Q39</f>
        <v>412319.06312613934</v>
      </c>
      <c r="BX39" s="492">
        <f>Q39</f>
        <v>412319.06312613934</v>
      </c>
      <c r="BY39" s="492">
        <f>Q39</f>
        <v>412319.06312613934</v>
      </c>
      <c r="BZ39" s="492">
        <f t="shared" si="107"/>
        <v>1236957.189378418</v>
      </c>
      <c r="CA39" s="222"/>
      <c r="CB39" s="532">
        <f>R39</f>
        <v>812441.32062588364</v>
      </c>
      <c r="CC39" s="492">
        <f>R39</f>
        <v>812441.32062588364</v>
      </c>
      <c r="CD39" s="492">
        <f>R39</f>
        <v>812441.32062588364</v>
      </c>
      <c r="CE39" s="492">
        <f t="shared" si="108"/>
        <v>2437323.961877651</v>
      </c>
      <c r="CF39" s="222"/>
      <c r="CG39" s="532">
        <f>S39</f>
        <v>1638812.6901290107</v>
      </c>
      <c r="CH39" s="492">
        <f>S39</f>
        <v>1638812.6901290107</v>
      </c>
      <c r="CI39" s="492">
        <f>S39</f>
        <v>1638812.6901290107</v>
      </c>
      <c r="CJ39" s="492">
        <f t="shared" si="109"/>
        <v>4916438.0703870319</v>
      </c>
      <c r="CK39" s="222"/>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row>
    <row r="40" spans="1:179" s="57" customFormat="1" ht="9.75" customHeight="1" x14ac:dyDescent="0.15">
      <c r="A40" s="488" t="s">
        <v>194</v>
      </c>
      <c r="B40" s="145">
        <v>0.25</v>
      </c>
      <c r="C40" s="126">
        <v>0</v>
      </c>
      <c r="D40" s="291"/>
      <c r="E40" s="624"/>
      <c r="F40" s="226">
        <v>0</v>
      </c>
      <c r="G40" s="492">
        <f>IF(IF(F49&gt;0,F49*((0*(IF(ISBLANK(E40),C40,E40)))+(IF(ISBLANK(D40),B40,D40))),0)&lt;0,0,IF(F49&gt;0,F49*((0*(IF(ISBLANK(E40),C40,E40)))+(IF(ISBLANK(D40),B40,D40))),0))/3</f>
        <v>0</v>
      </c>
      <c r="H40" s="492">
        <f>IF(IF(G49&gt;0,G49*((0*(IF(ISBLANK(E40),C40,E40)))+(IF(ISBLANK(D40),B40,D40))),0)&lt;0,0,IF(G49&gt;0,G49*((0*(IF(ISBLANK(E40),C40,E40)))+(IF(ISBLANK(D40),B40,D40))),0))/3</f>
        <v>0</v>
      </c>
      <c r="I40" s="492">
        <f>IF(IF(H49&gt;0,H49*((1*(IF(ISBLANK(E40),C40,E40)))+(IF(ISBLANK(D40),B40,D40))),0)&lt;0,0,IF(H49&gt;0,H49*((1*(IF(ISBLANK(E40),C40,E40)))+(IF(ISBLANK(D40),B40,D40))),0))/3</f>
        <v>0</v>
      </c>
      <c r="J40" s="217">
        <f t="shared" si="110"/>
        <v>0</v>
      </c>
      <c r="K40" s="492">
        <f>IF(IF(I49&gt;0,I49*((2*(IF(ISBLANK(E40),C40,E40)))+(IF(ISBLANK(D40),B40,D40))),0)&lt;0,0,IF(I49&gt;0,I49*((2*(IF(ISBLANK(E40),C40,E40)))+(IF(ISBLANK(D40),B40,D40))),0))/3</f>
        <v>0</v>
      </c>
      <c r="L40" s="492">
        <f>IF(IF(K49&gt;0,K49*((3*(IF(ISBLANK(E40),C40,E40)))+(IF(ISBLANK(D40),B40,D40))),0)&lt;0,0,IF(K49&gt;0,K49*((3*(IF(ISBLANK(E40),C40,E40)))+(IF(ISBLANK(D40),B40,D40))),0))/3</f>
        <v>0</v>
      </c>
      <c r="M40" s="492">
        <f>IF(IF(L49&gt;0,L49*((4*(IF(ISBLANK(E40),C40,E40)))+(IF(ISBLANK(D40),B40,D40))),0)&lt;0,0,IF(L49&gt;0,L49*((4*(IF(ISBLANK(E40),C40,E40)))+(IF(ISBLANK(D40),B40,D40))),0))/3</f>
        <v>675.3029968855941</v>
      </c>
      <c r="N40" s="492">
        <f>IF(IF(M49&gt;0,M49*((5*(IF(ISBLANK(E40),C40,E40)))+(IF(ISBLANK(D40),B40,D40))),0)&lt;0,0,IF(M49&gt;0,M49*((5*(IF(ISBLANK(E40),C40,E40)))+(IF(ISBLANK(D40),B40,D40))),0))/3</f>
        <v>10815.151056803859</v>
      </c>
      <c r="O40" s="217">
        <f t="shared" si="111"/>
        <v>34471.362161068362</v>
      </c>
      <c r="P40" s="492">
        <f>IF(IF(N49&gt;0,N49*((6*(IF(ISBLANK(E40),C40,E40)))+(IF(ISBLANK(D40),B40,D40))),0)&lt;0,0,IF(N49&gt;0,N49*((6*(IF(ISBLANK(E40),C40,E40)))+(IF(ISBLANK(D40),B40,D40))),0))/3</f>
        <v>37964.786848262847</v>
      </c>
      <c r="Q40" s="492">
        <f>IF(IF(P49&gt;0,P49*((7*(IF(ISBLANK(E40),C40,E40)))+(IF(ISBLANK(D40),B40,D40))),0)&lt;0,0,IF(P49&gt;0,P49*((7*(IF(ISBLANK(E40),C40,E40)))+(IF(ISBLANK(D40),B40,D40))),0))/3</f>
        <v>125055.98574411962</v>
      </c>
      <c r="R40" s="492">
        <f>IF(IF(Q49&gt;0,Q49*((8*(IF(ISBLANK(E40),C40,E40)))+(IF(ISBLANK(D40),B40,D40))),0)&lt;0,0,IF(Q49&gt;0,Q49*((8*(IF(ISBLANK(E40),C40,E40)))+(IF(ISBLANK(D40),B40,D40))),0))/3</f>
        <v>302365.4532343857</v>
      </c>
      <c r="S40" s="492">
        <f>IF(IF(R49&gt;0,R49*((9*(IF(ISBLANK(E40),C40,E40)))+(IF(ISBLANK(D40),B40,D40))),0)&lt;0,0,IF(R49&gt;0,R49*((9*(IF(ISBLANK(E40),C40,E40)))+(IF(ISBLANK(D40),B40,D40))),0))/3</f>
        <v>756546.15568922355</v>
      </c>
      <c r="T40" s="218">
        <f t="shared" si="112"/>
        <v>3665797.1445479752</v>
      </c>
      <c r="U40" s="221"/>
      <c r="V40" s="239">
        <f>SUM(IF(S49&lt;0,0,S49*((10*(IF(ISBLANK(E40),C40,E40)))+(IF(ISBLANK(D40),B40,D40)))))</f>
        <v>5524016.2790420502</v>
      </c>
      <c r="W40" s="217">
        <f>SUM(IF(V49&lt;0,0,V49*((11*(IF(ISBLANK(E40),C40,E40)))+(IF(ISBLANK(D40),B40,D40)))))</f>
        <v>51458181.722742826</v>
      </c>
      <c r="X40" s="242">
        <f>SUM(IF(W49&lt;0,0,W49*((12*(IF(ISBLANK(E40),C40,E40)))+(IF(ISBLANK(D40),B40,D40)))))</f>
        <v>198613918.21945322</v>
      </c>
      <c r="Y40" s="221"/>
      <c r="Z40" s="578">
        <v>0</v>
      </c>
      <c r="AA40" s="617"/>
      <c r="AB40" s="532">
        <f>F40</f>
        <v>0</v>
      </c>
      <c r="AC40" s="492">
        <f>F40</f>
        <v>0</v>
      </c>
      <c r="AD40" s="492">
        <f>F40</f>
        <v>0</v>
      </c>
      <c r="AE40" s="492">
        <f t="shared" si="98"/>
        <v>0</v>
      </c>
      <c r="AF40" s="222"/>
      <c r="AG40" s="532">
        <f>G40</f>
        <v>0</v>
      </c>
      <c r="AH40" s="492">
        <f>G40</f>
        <v>0</v>
      </c>
      <c r="AI40" s="492">
        <f>G40</f>
        <v>0</v>
      </c>
      <c r="AJ40" s="492">
        <f t="shared" si="99"/>
        <v>0</v>
      </c>
      <c r="AK40" s="222"/>
      <c r="AL40" s="532">
        <f>H40</f>
        <v>0</v>
      </c>
      <c r="AM40" s="492">
        <f>H40</f>
        <v>0</v>
      </c>
      <c r="AN40" s="492">
        <f>H40</f>
        <v>0</v>
      </c>
      <c r="AO40" s="492">
        <f t="shared" si="100"/>
        <v>0</v>
      </c>
      <c r="AP40" s="222"/>
      <c r="AQ40" s="532">
        <f>I40</f>
        <v>0</v>
      </c>
      <c r="AR40" s="492">
        <f>I40</f>
        <v>0</v>
      </c>
      <c r="AS40" s="492">
        <f>I40</f>
        <v>0</v>
      </c>
      <c r="AT40" s="492">
        <f t="shared" si="101"/>
        <v>0</v>
      </c>
      <c r="AU40" s="222"/>
      <c r="AV40" s="617"/>
      <c r="AW40" s="532">
        <f>K40</f>
        <v>0</v>
      </c>
      <c r="AX40" s="492">
        <f>K40</f>
        <v>0</v>
      </c>
      <c r="AY40" s="492">
        <f>K40</f>
        <v>0</v>
      </c>
      <c r="AZ40" s="492">
        <f t="shared" si="102"/>
        <v>0</v>
      </c>
      <c r="BA40" s="222"/>
      <c r="BB40" s="532">
        <f>L40</f>
        <v>0</v>
      </c>
      <c r="BC40" s="492">
        <f>L40</f>
        <v>0</v>
      </c>
      <c r="BD40" s="492">
        <f>L40</f>
        <v>0</v>
      </c>
      <c r="BE40" s="492">
        <f t="shared" si="103"/>
        <v>0</v>
      </c>
      <c r="BF40" s="222"/>
      <c r="BG40" s="532">
        <f>M40</f>
        <v>675.3029968855941</v>
      </c>
      <c r="BH40" s="492">
        <f>M40</f>
        <v>675.3029968855941</v>
      </c>
      <c r="BI40" s="492">
        <f>M40</f>
        <v>675.3029968855941</v>
      </c>
      <c r="BJ40" s="492">
        <f t="shared" si="104"/>
        <v>2025.9089906567824</v>
      </c>
      <c r="BK40" s="222"/>
      <c r="BL40" s="532">
        <f>N40</f>
        <v>10815.151056803859</v>
      </c>
      <c r="BM40" s="492">
        <f>N40</f>
        <v>10815.151056803859</v>
      </c>
      <c r="BN40" s="492">
        <f>N40</f>
        <v>10815.151056803859</v>
      </c>
      <c r="BO40" s="492">
        <f t="shared" si="105"/>
        <v>32445.45317041158</v>
      </c>
      <c r="BP40" s="222"/>
      <c r="BQ40" s="221"/>
      <c r="BR40" s="532">
        <f>P40</f>
        <v>37964.786848262847</v>
      </c>
      <c r="BS40" s="492">
        <f>P40</f>
        <v>37964.786848262847</v>
      </c>
      <c r="BT40" s="492">
        <f>P40</f>
        <v>37964.786848262847</v>
      </c>
      <c r="BU40" s="492">
        <f t="shared" si="106"/>
        <v>113894.36054478853</v>
      </c>
      <c r="BV40" s="222"/>
      <c r="BW40" s="532">
        <f>Q40</f>
        <v>125055.98574411962</v>
      </c>
      <c r="BX40" s="492">
        <f>Q40</f>
        <v>125055.98574411962</v>
      </c>
      <c r="BY40" s="492">
        <f>Q40</f>
        <v>125055.98574411962</v>
      </c>
      <c r="BZ40" s="492">
        <f t="shared" si="107"/>
        <v>375167.95723235887</v>
      </c>
      <c r="CA40" s="222"/>
      <c r="CB40" s="532">
        <f>R40</f>
        <v>302365.4532343857</v>
      </c>
      <c r="CC40" s="492">
        <f>R40</f>
        <v>302365.4532343857</v>
      </c>
      <c r="CD40" s="492">
        <f>R40</f>
        <v>302365.4532343857</v>
      </c>
      <c r="CE40" s="492">
        <f t="shared" si="108"/>
        <v>907096.3597031571</v>
      </c>
      <c r="CF40" s="222"/>
      <c r="CG40" s="532">
        <f>S40</f>
        <v>756546.15568922355</v>
      </c>
      <c r="CH40" s="492">
        <f>S40</f>
        <v>756546.15568922355</v>
      </c>
      <c r="CI40" s="492">
        <f>S40</f>
        <v>756546.15568922355</v>
      </c>
      <c r="CJ40" s="492">
        <f t="shared" si="109"/>
        <v>2269638.4670676705</v>
      </c>
      <c r="CK40" s="222"/>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row>
    <row r="41" spans="1:179" s="57" customFormat="1" ht="9.75" customHeight="1" x14ac:dyDescent="0.15">
      <c r="A41" s="488" t="s">
        <v>195</v>
      </c>
      <c r="B41" s="239">
        <v>2500</v>
      </c>
      <c r="C41" s="371">
        <v>2000</v>
      </c>
      <c r="D41" s="228"/>
      <c r="E41" s="229"/>
      <c r="F41" s="491">
        <f>IF(ISBLANK(D41),B41,D41)</f>
        <v>2500</v>
      </c>
      <c r="G41" s="492">
        <f>SUM((IF(F49&gt;0,IF(ISBLANK(E41),C41,E41),0)+F41))</f>
        <v>2500</v>
      </c>
      <c r="H41" s="492">
        <f>SUM((IF(G49&gt;0,IF(ISBLANK(E41),C41,E41),0)+G41))</f>
        <v>2500</v>
      </c>
      <c r="I41" s="492">
        <f>SUM((IF(H49&gt;0,IF(ISBLANK(E41),C41,E41),0)+H41))</f>
        <v>2500</v>
      </c>
      <c r="J41" s="217">
        <f t="shared" si="110"/>
        <v>30000</v>
      </c>
      <c r="K41" s="492">
        <f>SUM((IF(I49&gt;0,IF(ISBLANK(E41),C41,E41),0)+I41))</f>
        <v>2500</v>
      </c>
      <c r="L41" s="492">
        <f>SUM((IF(K49&gt;0,IF(ISBLANK(E41),C41,E41),0)+K41))</f>
        <v>2500</v>
      </c>
      <c r="M41" s="492">
        <f>SUM((IF(L49&gt;0,IF(ISBLANK(E41),C41,E41),0)+L41))</f>
        <v>4500</v>
      </c>
      <c r="N41" s="492">
        <f>SUM((IF(M49&gt;0,IF(ISBLANK(E41),C41,E41),0)+M41))</f>
        <v>6500</v>
      </c>
      <c r="O41" s="217">
        <f t="shared" si="111"/>
        <v>48000</v>
      </c>
      <c r="P41" s="492">
        <f>SUM((IF(N49&gt;0,IF(ISBLANK(E41),C41,E41),0)+N41))</f>
        <v>8500</v>
      </c>
      <c r="Q41" s="492">
        <f>SUM((IF(P49&gt;0,IF(ISBLANK(E41),C41,E41),0)+P41))</f>
        <v>10500</v>
      </c>
      <c r="R41" s="492">
        <f>SUM((IF(Q49&gt;0,IF(ISBLANK(E41),C41,E41),0)+Q41))</f>
        <v>12500</v>
      </c>
      <c r="S41" s="492">
        <f>SUM((IF(R49&gt;0,IF(ISBLANK(E41),C41,E41),0)+R41))</f>
        <v>14500</v>
      </c>
      <c r="T41" s="218">
        <f t="shared" si="112"/>
        <v>138000</v>
      </c>
      <c r="U41" s="221"/>
      <c r="V41" s="239">
        <f>SUM((IF(S49&gt;0,IF(ISBLANK(E41),C41,E41),0)+S41))</f>
        <v>16500</v>
      </c>
      <c r="W41" s="217">
        <f>SUM((IF(V49&gt;0,IF(ISBLANK(E41),C41,E41),0)+V41))</f>
        <v>18500</v>
      </c>
      <c r="X41" s="242">
        <f>SUM((IF(W49&gt;0,IF(ISBLANK(E41),C41,E41),0)+W41))</f>
        <v>20500</v>
      </c>
      <c r="Y41" s="221"/>
      <c r="Z41" s="578">
        <v>55000</v>
      </c>
      <c r="AA41" s="617"/>
      <c r="AB41" s="532">
        <f t="shared" si="113"/>
        <v>2500</v>
      </c>
      <c r="AC41" s="492">
        <f t="shared" si="114"/>
        <v>2500</v>
      </c>
      <c r="AD41" s="492">
        <f t="shared" si="115"/>
        <v>2500</v>
      </c>
      <c r="AE41" s="492">
        <f t="shared" si="98"/>
        <v>7500</v>
      </c>
      <c r="AF41" s="222"/>
      <c r="AG41" s="532">
        <f t="shared" si="116"/>
        <v>2500</v>
      </c>
      <c r="AH41" s="492">
        <f>G41</f>
        <v>2500</v>
      </c>
      <c r="AI41" s="492">
        <f>G41</f>
        <v>2500</v>
      </c>
      <c r="AJ41" s="492">
        <f t="shared" si="99"/>
        <v>7500</v>
      </c>
      <c r="AK41" s="222"/>
      <c r="AL41" s="532">
        <f>H41</f>
        <v>2500</v>
      </c>
      <c r="AM41" s="492">
        <f>H41</f>
        <v>2500</v>
      </c>
      <c r="AN41" s="492">
        <f>H41</f>
        <v>2500</v>
      </c>
      <c r="AO41" s="492">
        <f t="shared" si="100"/>
        <v>7500</v>
      </c>
      <c r="AP41" s="222"/>
      <c r="AQ41" s="532">
        <f t="shared" si="122"/>
        <v>2500</v>
      </c>
      <c r="AR41" s="492">
        <f t="shared" si="123"/>
        <v>2500</v>
      </c>
      <c r="AS41" s="492">
        <f t="shared" si="124"/>
        <v>2500</v>
      </c>
      <c r="AT41" s="492">
        <f t="shared" si="101"/>
        <v>7500</v>
      </c>
      <c r="AU41" s="222"/>
      <c r="AV41" s="617"/>
      <c r="AW41" s="532">
        <f t="shared" si="125"/>
        <v>2500</v>
      </c>
      <c r="AX41" s="492">
        <f t="shared" si="126"/>
        <v>2500</v>
      </c>
      <c r="AY41" s="492">
        <f t="shared" si="127"/>
        <v>2500</v>
      </c>
      <c r="AZ41" s="492">
        <f t="shared" si="102"/>
        <v>7500</v>
      </c>
      <c r="BA41" s="222"/>
      <c r="BB41" s="532">
        <f t="shared" si="128"/>
        <v>2500</v>
      </c>
      <c r="BC41" s="492">
        <f t="shared" si="129"/>
        <v>2500</v>
      </c>
      <c r="BD41" s="492">
        <f t="shared" si="130"/>
        <v>2500</v>
      </c>
      <c r="BE41" s="492">
        <f t="shared" si="103"/>
        <v>7500</v>
      </c>
      <c r="BF41" s="222"/>
      <c r="BG41" s="532">
        <f t="shared" si="131"/>
        <v>4500</v>
      </c>
      <c r="BH41" s="492">
        <f t="shared" si="132"/>
        <v>4500</v>
      </c>
      <c r="BI41" s="492">
        <f t="shared" si="133"/>
        <v>4500</v>
      </c>
      <c r="BJ41" s="492">
        <f t="shared" si="104"/>
        <v>13500</v>
      </c>
      <c r="BK41" s="222"/>
      <c r="BL41" s="532">
        <f>N41</f>
        <v>6500</v>
      </c>
      <c r="BM41" s="492">
        <f t="shared" si="135"/>
        <v>6500</v>
      </c>
      <c r="BN41" s="492">
        <f t="shared" si="136"/>
        <v>6500</v>
      </c>
      <c r="BO41" s="492">
        <f t="shared" si="105"/>
        <v>19500</v>
      </c>
      <c r="BP41" s="222"/>
      <c r="BQ41" s="221"/>
      <c r="BR41" s="532">
        <f t="shared" si="137"/>
        <v>8500</v>
      </c>
      <c r="BS41" s="492">
        <f t="shared" si="138"/>
        <v>8500</v>
      </c>
      <c r="BT41" s="492">
        <f t="shared" si="139"/>
        <v>8500</v>
      </c>
      <c r="BU41" s="492">
        <f t="shared" si="106"/>
        <v>25500</v>
      </c>
      <c r="BV41" s="222"/>
      <c r="BW41" s="532">
        <f t="shared" si="140"/>
        <v>10500</v>
      </c>
      <c r="BX41" s="492">
        <f t="shared" si="141"/>
        <v>10500</v>
      </c>
      <c r="BY41" s="492">
        <f t="shared" si="142"/>
        <v>10500</v>
      </c>
      <c r="BZ41" s="492">
        <f t="shared" si="107"/>
        <v>31500</v>
      </c>
      <c r="CA41" s="222"/>
      <c r="CB41" s="532">
        <f t="shared" si="143"/>
        <v>12500</v>
      </c>
      <c r="CC41" s="492">
        <f t="shared" si="144"/>
        <v>12500</v>
      </c>
      <c r="CD41" s="492">
        <f t="shared" si="145"/>
        <v>12500</v>
      </c>
      <c r="CE41" s="492">
        <f t="shared" si="108"/>
        <v>37500</v>
      </c>
      <c r="CF41" s="222"/>
      <c r="CG41" s="532">
        <f t="shared" si="146"/>
        <v>14500</v>
      </c>
      <c r="CH41" s="492">
        <f t="shared" si="147"/>
        <v>14500</v>
      </c>
      <c r="CI41" s="492">
        <f t="shared" si="148"/>
        <v>14500</v>
      </c>
      <c r="CJ41" s="492">
        <f t="shared" si="109"/>
        <v>43500</v>
      </c>
      <c r="CK41" s="222"/>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row>
    <row r="42" spans="1:179" s="57" customFormat="1" ht="9.75" customHeight="1" x14ac:dyDescent="0.15">
      <c r="A42" s="488" t="s">
        <v>196</v>
      </c>
      <c r="B42" s="239">
        <v>2000</v>
      </c>
      <c r="C42" s="214">
        <v>0.01</v>
      </c>
      <c r="D42" s="228"/>
      <c r="E42" s="225"/>
      <c r="F42" s="491">
        <f>SUM((IF(ISBLANK(D42),B42,D42))+(IF(ISBLANK(E42),C42,E42)*F18))</f>
        <v>2021.4521407384641</v>
      </c>
      <c r="G42" s="492">
        <f>SUM((IF(ISBLANK(D42),B42,D42))+(IF(ISBLANK(E42),C42,E42)*G18))</f>
        <v>2051.1901415290749</v>
      </c>
      <c r="H42" s="492">
        <f>SUM((IF(ISBLANK(D42),B42,D42))+(IF(ISBLANK(E42),C42,E42)*H18))</f>
        <v>2322.976770979908</v>
      </c>
      <c r="I42" s="492">
        <f>SUM((IF(ISBLANK(D42),B42,D42))+(IF(ISBLANK(E42),C42,E42)*I18))</f>
        <v>2694.0741486474817</v>
      </c>
      <c r="J42" s="217">
        <f t="shared" si="110"/>
        <v>27269.079605684783</v>
      </c>
      <c r="K42" s="492">
        <f>SUM((IF(ISBLANK(D42),B42,D42))+(IF(ISBLANK(E42),C42,E42)*K18))</f>
        <v>3185.1703135999137</v>
      </c>
      <c r="L42" s="492">
        <f>SUM((IF(ISBLANK(D42),B42,D42))+(IF(ISBLANK(E42),C42,E42)*L18))</f>
        <v>3867.004614688748</v>
      </c>
      <c r="M42" s="492">
        <f>SUM((IF(ISBLANK(D42),B42,D42))+(IF(ISBLANK(E42),C42,E42)*M18))</f>
        <v>4931.2046325769206</v>
      </c>
      <c r="N42" s="492">
        <f>SUM((IF(ISBLANK(D42),B42,D42))+(IF(ISBLANK(E42),C42,E42)*N18))</f>
        <v>6773.5846255868273</v>
      </c>
      <c r="O42" s="217">
        <f t="shared" si="111"/>
        <v>56270.892559357235</v>
      </c>
      <c r="P42" s="492">
        <f>SUM((IF(ISBLANK(D42),B42,D42))+(IF(ISBLANK(E42),C42,E42)*P18))</f>
        <v>9995.6876883937766</v>
      </c>
      <c r="Q42" s="492">
        <f>SUM((IF(ISBLANK(D42),B42,D42))+(IF(ISBLANK(E42),C42,E42)*Q18))</f>
        <v>15792.839202390705</v>
      </c>
      <c r="R42" s="492">
        <f>SUM((IF(ISBLANK(D42),B42,D42))+(IF(ISBLANK(E42),C42,E42)*R18))</f>
        <v>26858.850244178502</v>
      </c>
      <c r="S42" s="492">
        <f>SUM((IF(ISBLANK(D42),B42,D42))+(IF(ISBLANK(E42),C42,E42)*S18))</f>
        <v>48260.310702250434</v>
      </c>
      <c r="T42" s="218">
        <f t="shared" si="112"/>
        <v>302723.0635116403</v>
      </c>
      <c r="U42" s="221"/>
      <c r="V42" s="239">
        <f>SUM((IF(ISBLANK(D42),B42,D42))+(IF(ISBLANK(E42),C42,E42)*V18))*12</f>
        <v>1576177.5980963456</v>
      </c>
      <c r="W42" s="217">
        <f>SUM((IF(ISBLANK(D42),B42,D42))+(IF(ISBLANK(E42),C42,E42)*W18))*12</f>
        <v>3224077.4282655758</v>
      </c>
      <c r="X42" s="242">
        <f>SUM((IF(ISBLANK(D42),B42,D42))+(IF(ISBLANK(E42),C42,E42)*X18))*12</f>
        <v>5563987.0057840254</v>
      </c>
      <c r="Y42" s="221"/>
      <c r="Z42" s="578">
        <f>SUM(10105+7000)</f>
        <v>17105</v>
      </c>
      <c r="AA42" s="617"/>
      <c r="AB42" s="532">
        <f t="shared" si="113"/>
        <v>2021.4521407384641</v>
      </c>
      <c r="AC42" s="492">
        <f t="shared" si="114"/>
        <v>2021.4521407384641</v>
      </c>
      <c r="AD42" s="492">
        <f t="shared" si="115"/>
        <v>2021.4521407384641</v>
      </c>
      <c r="AE42" s="492">
        <f t="shared" si="98"/>
        <v>6064.3564222153927</v>
      </c>
      <c r="AF42" s="222"/>
      <c r="AG42" s="532">
        <f t="shared" si="116"/>
        <v>2051.1901415290749</v>
      </c>
      <c r="AH42" s="492">
        <f t="shared" si="117"/>
        <v>2051.1901415290749</v>
      </c>
      <c r="AI42" s="492">
        <f t="shared" si="118"/>
        <v>2051.1901415290749</v>
      </c>
      <c r="AJ42" s="492">
        <f t="shared" si="99"/>
        <v>6153.5704245872248</v>
      </c>
      <c r="AK42" s="222"/>
      <c r="AL42" s="532">
        <f t="shared" si="119"/>
        <v>2322.976770979908</v>
      </c>
      <c r="AM42" s="492">
        <f t="shared" si="120"/>
        <v>2322.976770979908</v>
      </c>
      <c r="AN42" s="492">
        <f t="shared" si="121"/>
        <v>2322.976770979908</v>
      </c>
      <c r="AO42" s="492">
        <f t="shared" si="100"/>
        <v>6968.930312939724</v>
      </c>
      <c r="AP42" s="222"/>
      <c r="AQ42" s="532">
        <f t="shared" si="122"/>
        <v>2694.0741486474817</v>
      </c>
      <c r="AR42" s="492">
        <f t="shared" si="123"/>
        <v>2694.0741486474817</v>
      </c>
      <c r="AS42" s="492">
        <f t="shared" si="124"/>
        <v>2694.0741486474817</v>
      </c>
      <c r="AT42" s="492">
        <f t="shared" si="101"/>
        <v>8082.2224459424451</v>
      </c>
      <c r="AU42" s="222"/>
      <c r="AV42" s="617"/>
      <c r="AW42" s="532">
        <f t="shared" si="125"/>
        <v>3185.1703135999137</v>
      </c>
      <c r="AX42" s="492">
        <f t="shared" si="126"/>
        <v>3185.1703135999137</v>
      </c>
      <c r="AY42" s="492">
        <f t="shared" si="127"/>
        <v>3185.1703135999137</v>
      </c>
      <c r="AZ42" s="492">
        <f t="shared" si="102"/>
        <v>9555.5109407997406</v>
      </c>
      <c r="BA42" s="222"/>
      <c r="BB42" s="532">
        <f t="shared" si="128"/>
        <v>3867.004614688748</v>
      </c>
      <c r="BC42" s="492">
        <f t="shared" si="129"/>
        <v>3867.004614688748</v>
      </c>
      <c r="BD42" s="492">
        <f t="shared" si="130"/>
        <v>3867.004614688748</v>
      </c>
      <c r="BE42" s="492">
        <f t="shared" si="103"/>
        <v>11601.013844066245</v>
      </c>
      <c r="BF42" s="222"/>
      <c r="BG42" s="532">
        <f t="shared" si="131"/>
        <v>4931.2046325769206</v>
      </c>
      <c r="BH42" s="492">
        <f t="shared" si="132"/>
        <v>4931.2046325769206</v>
      </c>
      <c r="BI42" s="492">
        <f t="shared" si="133"/>
        <v>4931.2046325769206</v>
      </c>
      <c r="BJ42" s="492">
        <f t="shared" si="104"/>
        <v>14793.613897730762</v>
      </c>
      <c r="BK42" s="222"/>
      <c r="BL42" s="532">
        <f t="shared" si="134"/>
        <v>6773.5846255868273</v>
      </c>
      <c r="BM42" s="492">
        <f t="shared" si="135"/>
        <v>6773.5846255868273</v>
      </c>
      <c r="BN42" s="492">
        <f t="shared" si="136"/>
        <v>6773.5846255868273</v>
      </c>
      <c r="BO42" s="492">
        <f t="shared" si="105"/>
        <v>20320.753876760482</v>
      </c>
      <c r="BP42" s="222"/>
      <c r="BQ42" s="221"/>
      <c r="BR42" s="532">
        <f t="shared" si="137"/>
        <v>9995.6876883937766</v>
      </c>
      <c r="BS42" s="492">
        <f t="shared" si="138"/>
        <v>9995.6876883937766</v>
      </c>
      <c r="BT42" s="492">
        <f t="shared" si="139"/>
        <v>9995.6876883937766</v>
      </c>
      <c r="BU42" s="492">
        <f t="shared" si="106"/>
        <v>29987.06306518133</v>
      </c>
      <c r="BV42" s="222"/>
      <c r="BW42" s="532">
        <f t="shared" si="140"/>
        <v>15792.839202390705</v>
      </c>
      <c r="BX42" s="492">
        <f t="shared" si="141"/>
        <v>15792.839202390705</v>
      </c>
      <c r="BY42" s="492">
        <f t="shared" si="142"/>
        <v>15792.839202390705</v>
      </c>
      <c r="BZ42" s="492">
        <f t="shared" si="107"/>
        <v>47378.517607172114</v>
      </c>
      <c r="CA42" s="222"/>
      <c r="CB42" s="532">
        <f t="shared" si="143"/>
        <v>26858.850244178502</v>
      </c>
      <c r="CC42" s="492">
        <f t="shared" si="144"/>
        <v>26858.850244178502</v>
      </c>
      <c r="CD42" s="492">
        <f t="shared" si="145"/>
        <v>26858.850244178502</v>
      </c>
      <c r="CE42" s="492">
        <f t="shared" si="108"/>
        <v>80576.550732535514</v>
      </c>
      <c r="CF42" s="222"/>
      <c r="CG42" s="532">
        <f t="shared" si="146"/>
        <v>48260.310702250434</v>
      </c>
      <c r="CH42" s="492">
        <f t="shared" si="147"/>
        <v>48260.310702250434</v>
      </c>
      <c r="CI42" s="492">
        <f t="shared" si="148"/>
        <v>48260.310702250434</v>
      </c>
      <c r="CJ42" s="492">
        <f t="shared" si="109"/>
        <v>144780.93210675131</v>
      </c>
      <c r="CK42" s="222"/>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row>
    <row r="43" spans="1:179" s="57" customFormat="1" ht="9.75" customHeight="1" x14ac:dyDescent="0.15">
      <c r="A43" s="488" t="s">
        <v>197</v>
      </c>
      <c r="B43" s="167">
        <v>0.1</v>
      </c>
      <c r="C43" s="285">
        <v>-0.01</v>
      </c>
      <c r="D43" s="291"/>
      <c r="E43" s="624"/>
      <c r="F43" s="226">
        <v>10000</v>
      </c>
      <c r="G43" s="227">
        <v>10000</v>
      </c>
      <c r="H43" s="492">
        <f>SUM((IF(ISBLANK(D43),B43,D43)*(H30/3))+(G43))</f>
        <v>11127.829680939794</v>
      </c>
      <c r="I43" s="491">
        <f>SUM(IF(ISBLANK(D43),      (IF((1*(IF(ISBLANK(E43),C43,E43)) + B43) &lt; 0,     0,     (1*(IF(ISBLANK(E43),C43,E43)) + B43)   )),       (IF((1*(IF(ISBLANK(E43),C43,E43)) + D43) &lt; 0,     0,     (1*(IF(ISBLANK(E43),C43,E43)) + D43)   ))  )       *   (I30/3)+(H43))</f>
        <v>15894.093535049069</v>
      </c>
      <c r="J43" s="217">
        <f t="shared" si="110"/>
        <v>141065.7696479666</v>
      </c>
      <c r="K43" s="492">
        <f>SUM(IF(ISBLANK(D43),      (IF((2*(IF(ISBLANK(E43),C43,E43)) + B43) &lt; 0,     0,     (2*(IF(ISBLANK(E43),C43,E43)) + B43)   )),       (IF((2*(IF(ISBLANK(E43),C43,E43)) + D43) &lt; 0,     0,     (2*(IF(ISBLANK(E43),C43,E43)) + D43)   ))  )       *   (K30/3)+(I43))</f>
        <v>26776.143481849365</v>
      </c>
      <c r="L43" s="492">
        <f>SUM(IF(ISBLANK(D43),      (IF((3*(IF(ISBLANK(E43),C43,E43)) + B43) &lt; 0,     0,     (3*(IF(ISBLANK(E43),C43,E43)) + B43)   )),       (IF((3*(IF(ISBLANK(E43),C43,E43)) + D43) &lt; 0,     0,     (3*(IF(ISBLANK(E43),C43,E43)) + D43)   ))  )       *   (L30/3)+(K43))</f>
        <v>46455.715433140736</v>
      </c>
      <c r="M43" s="492">
        <f>SUM(IF(ISBLANK(D43),      (IF((4*(IF(ISBLANK(E43),C43,E43)) + B43) &lt; 0,     0,     (4*(IF(ISBLANK(E43),C43,E43)) + B43)   )),       (IF((4*(IF(ISBLANK(E43),C43,E43)) + D43) &lt; 0,     0,     (4*(IF(ISBLANK(E43),C43,E43)) + D43)   ))  )       *   (M30/3)+(L43))</f>
        <v>78825.434842660994</v>
      </c>
      <c r="N43" s="492">
        <f>SUM(IF(ISBLANK(D43),      (IF((5*(IF(ISBLANK(E43),C43,E43)) + B43) &lt; 0,     0,     (5*(IF(ISBLANK(E43),C43,E43)) + B43)   )),       (IF((5*(IF(ISBLANK(E43),C43,E43)) + D43) &lt; 0,     0,     (5*(IF(ISBLANK(E43),C43,E43)) + D43)   ))  )       *   (N30/3)+(M43))</f>
        <v>130228.15938444261</v>
      </c>
      <c r="O43" s="217">
        <f t="shared" si="111"/>
        <v>846856.35942628107</v>
      </c>
      <c r="P43" s="492">
        <f>SUM(IF(ISBLANK(D43),      (IF((6*(IF(ISBLANK(E43),C43,E43)) + B43) &lt; 0,     0,     (6*(IF(ISBLANK(E43),C43,E43)) + B43)   )),       (IF((6*(IF(ISBLANK(E43),C43,E43)) + D43) &lt; 0,     0,     (6*(IF(ISBLANK(E43),C43,E43)) + D43)   ))  )       *   (P30/3)+(N43))</f>
        <v>212691.97200967051</v>
      </c>
      <c r="Q43" s="492">
        <f>SUM(IF(ISBLANK(D43),      (IF((7*(IF(ISBLANK(E43),C43,E43)) + B43) &lt; 0,     0,     (7*(IF(ISBLANK(E43),C43,E43)) + B43)   )),       (IF((7*(IF(ISBLANK(E43),C43,E43)) + D43) &lt; 0,     0,     (7*(IF(ISBLANK(E43),C43,E43)) + D43)   ))  )       *   (Q30/3)+(P43))</f>
        <v>334558.17010355304</v>
      </c>
      <c r="R43" s="492">
        <f>SUM(IF(ISBLANK(D43),      (IF((8*(IF(ISBLANK(E43),C43,E43)) + B43) &lt; 0,     0,     (8*(IF(ISBLANK(E43),C43,E43)) + B43)   )),       (IF((8*(IF(ISBLANK(E43),C43,E43)) + D43) &lt; 0,     0,     (8*(IF(ISBLANK(E43),C43,E43)) + D43)   ))  )       *   (R30/3)+(Q43))</f>
        <v>498439.4391164541</v>
      </c>
      <c r="S43" s="492">
        <f>SUM(IF(ISBLANK(D43),      (IF((9*(IF(ISBLANK(E43),C43,E43)) + B43) &lt; 0,     0,     (9*(IF(ISBLANK(E43),C43,E43)) + B43)   )),       (IF((9*(IF(ISBLANK(E43),C43,E43)) + D43) &lt; 0,     0,     (9*(IF(ISBLANK(E43),C43,E43)) + D43)   ))  )       *   (S30/3)+(R43))</f>
        <v>667302.19660828658</v>
      </c>
      <c r="T43" s="218">
        <f t="shared" si="112"/>
        <v>5138975.3335138932</v>
      </c>
      <c r="U43" s="221"/>
      <c r="V43" s="239">
        <f>SUM(IF(ISBLANK(D43),      (IF((10*(IF(ISBLANK(E43),C43,E43)) + B43) &lt; 0,     0,     (10*(IF(ISBLANK(E43),C43,E43)) + B43)   )),       (IF((10*(IF(ISBLANK(E43),C43,E43)) + D43) &lt; 0,     0,     (10*(IF(ISBLANK(E43),C43,E43)) + D43)   ))  )       *   (V30)+(S43))*12</f>
        <v>8007626.359299439</v>
      </c>
      <c r="W43" s="217">
        <f>SUM(IF(ISBLANK(D43),      (IF((11*(IF(ISBLANK(E43),C43,E43)) + B43) &lt; 0,     0,     (11*(IF(ISBLANK(E43),C43,E43)) + B43)   )),       (IF((11*(IF(ISBLANK(E43),C43,E43)) + D43) &lt; 0,     0,     (11*(IF(ISBLANK(E43),C43,E43)) + D43)   ))  )       *   (W30)+(V43))</f>
        <v>8007626.359299439</v>
      </c>
      <c r="X43" s="242">
        <f>SUM(IF(ISBLANK(D43),      (IF((12*(IF(ISBLANK(E43),C43,E43)) + B43) &lt; 0,     0,     (12*(IF(ISBLANK(E43),C43,E43)) + B43)   )),       (IF((12*(IF(ISBLANK(E43),C43,E43)) + D43) &lt; 0,     0,     (12*(IF(ISBLANK(E43),C43,E43)) + D43)   ))  )       *   (X30)+(W43))</f>
        <v>8007626.359299439</v>
      </c>
      <c r="Y43" s="221"/>
      <c r="Z43" s="578">
        <f>SUM(1150+61191+16520+16425+10520+4487)</f>
        <v>110293</v>
      </c>
      <c r="AA43" s="617"/>
      <c r="AB43" s="532">
        <f t="shared" si="113"/>
        <v>10000</v>
      </c>
      <c r="AC43" s="492">
        <f t="shared" si="114"/>
        <v>10000</v>
      </c>
      <c r="AD43" s="492">
        <f t="shared" si="115"/>
        <v>10000</v>
      </c>
      <c r="AE43" s="492">
        <f t="shared" si="98"/>
        <v>30000</v>
      </c>
      <c r="AF43" s="222"/>
      <c r="AG43" s="532">
        <f t="shared" si="116"/>
        <v>10000</v>
      </c>
      <c r="AH43" s="492">
        <f t="shared" si="117"/>
        <v>10000</v>
      </c>
      <c r="AI43" s="492">
        <f t="shared" si="118"/>
        <v>10000</v>
      </c>
      <c r="AJ43" s="492">
        <f t="shared" si="99"/>
        <v>30000</v>
      </c>
      <c r="AK43" s="222"/>
      <c r="AL43" s="532">
        <f t="shared" si="119"/>
        <v>11127.829680939794</v>
      </c>
      <c r="AM43" s="492">
        <f t="shared" si="120"/>
        <v>11127.829680939794</v>
      </c>
      <c r="AN43" s="492">
        <f t="shared" si="121"/>
        <v>11127.829680939794</v>
      </c>
      <c r="AO43" s="492">
        <f t="shared" si="100"/>
        <v>33383.489042819383</v>
      </c>
      <c r="AP43" s="222"/>
      <c r="AQ43" s="532">
        <f t="shared" si="122"/>
        <v>15894.093535049069</v>
      </c>
      <c r="AR43" s="492">
        <f t="shared" si="123"/>
        <v>15894.093535049069</v>
      </c>
      <c r="AS43" s="492">
        <f t="shared" si="124"/>
        <v>15894.093535049069</v>
      </c>
      <c r="AT43" s="492">
        <f t="shared" si="101"/>
        <v>47682.280605147207</v>
      </c>
      <c r="AU43" s="222"/>
      <c r="AV43" s="617"/>
      <c r="AW43" s="532">
        <f t="shared" si="125"/>
        <v>26776.143481849365</v>
      </c>
      <c r="AX43" s="492">
        <f t="shared" si="126"/>
        <v>26776.143481849365</v>
      </c>
      <c r="AY43" s="492">
        <f t="shared" si="127"/>
        <v>26776.143481849365</v>
      </c>
      <c r="AZ43" s="492">
        <f t="shared" si="102"/>
        <v>80328.430445548089</v>
      </c>
      <c r="BA43" s="222"/>
      <c r="BB43" s="532">
        <f t="shared" si="128"/>
        <v>46455.715433140736</v>
      </c>
      <c r="BC43" s="492">
        <f t="shared" si="129"/>
        <v>46455.715433140736</v>
      </c>
      <c r="BD43" s="492">
        <f t="shared" si="130"/>
        <v>46455.715433140736</v>
      </c>
      <c r="BE43" s="492">
        <f t="shared" si="103"/>
        <v>139367.14629942219</v>
      </c>
      <c r="BF43" s="222"/>
      <c r="BG43" s="532">
        <f t="shared" si="131"/>
        <v>78825.434842660994</v>
      </c>
      <c r="BH43" s="492">
        <f t="shared" si="132"/>
        <v>78825.434842660994</v>
      </c>
      <c r="BI43" s="492">
        <f t="shared" si="133"/>
        <v>78825.434842660994</v>
      </c>
      <c r="BJ43" s="492">
        <f t="shared" si="104"/>
        <v>236476.30452798298</v>
      </c>
      <c r="BK43" s="222"/>
      <c r="BL43" s="532">
        <f t="shared" si="134"/>
        <v>130228.15938444261</v>
      </c>
      <c r="BM43" s="492">
        <f t="shared" si="135"/>
        <v>130228.15938444261</v>
      </c>
      <c r="BN43" s="492">
        <f t="shared" si="136"/>
        <v>130228.15938444261</v>
      </c>
      <c r="BO43" s="492">
        <f t="shared" si="105"/>
        <v>390684.47815332783</v>
      </c>
      <c r="BP43" s="222"/>
      <c r="BQ43" s="221"/>
      <c r="BR43" s="532">
        <f t="shared" si="137"/>
        <v>212691.97200967051</v>
      </c>
      <c r="BS43" s="492">
        <f t="shared" si="138"/>
        <v>212691.97200967051</v>
      </c>
      <c r="BT43" s="492">
        <f t="shared" si="139"/>
        <v>212691.97200967051</v>
      </c>
      <c r="BU43" s="492">
        <f t="shared" si="106"/>
        <v>638075.9160290116</v>
      </c>
      <c r="BV43" s="222"/>
      <c r="BW43" s="532">
        <f t="shared" si="140"/>
        <v>334558.17010355304</v>
      </c>
      <c r="BX43" s="492">
        <f t="shared" si="141"/>
        <v>334558.17010355304</v>
      </c>
      <c r="BY43" s="492">
        <f t="shared" si="142"/>
        <v>334558.17010355304</v>
      </c>
      <c r="BZ43" s="492">
        <f t="shared" si="107"/>
        <v>1003674.5103106592</v>
      </c>
      <c r="CA43" s="222"/>
      <c r="CB43" s="532">
        <f t="shared" si="143"/>
        <v>498439.4391164541</v>
      </c>
      <c r="CC43" s="492">
        <f t="shared" si="144"/>
        <v>498439.4391164541</v>
      </c>
      <c r="CD43" s="492">
        <f t="shared" si="145"/>
        <v>498439.4391164541</v>
      </c>
      <c r="CE43" s="492">
        <f t="shared" si="108"/>
        <v>1495318.3173493622</v>
      </c>
      <c r="CF43" s="222"/>
      <c r="CG43" s="532">
        <f t="shared" si="146"/>
        <v>667302.19660828658</v>
      </c>
      <c r="CH43" s="492">
        <f t="shared" si="147"/>
        <v>667302.19660828658</v>
      </c>
      <c r="CI43" s="492">
        <f t="shared" si="148"/>
        <v>667302.19660828658</v>
      </c>
      <c r="CJ43" s="492">
        <f t="shared" si="109"/>
        <v>2001906.5898248598</v>
      </c>
      <c r="CK43" s="222"/>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row>
    <row r="44" spans="1:179" s="57" customFormat="1" ht="9.75" customHeight="1" x14ac:dyDescent="0.15">
      <c r="A44" s="468" t="s">
        <v>198</v>
      </c>
      <c r="B44" s="213">
        <v>3</v>
      </c>
      <c r="C44" s="214">
        <v>-0.05</v>
      </c>
      <c r="D44" s="632"/>
      <c r="E44" s="633"/>
      <c r="F44" s="215">
        <v>6</v>
      </c>
      <c r="G44" s="216">
        <v>5</v>
      </c>
      <c r="H44" s="493">
        <f>SUM((IF(ISBLANK(D44),B44,D44)))</f>
        <v>3</v>
      </c>
      <c r="I44" s="493">
        <f>SUM(H44+(IF(ISBLANK(E44),C44,E44)))</f>
        <v>2.95</v>
      </c>
      <c r="J44" s="219">
        <f>SUM((F44+G44+H44+I44)/4)</f>
        <v>4.2374999999999998</v>
      </c>
      <c r="K44" s="493">
        <f>SUM(I44+(IF(ISBLANK(E44),C44,E44)))</f>
        <v>2.9000000000000004</v>
      </c>
      <c r="L44" s="493">
        <f>SUM(K44+(IF(ISBLANK(E44),C44,E44)))</f>
        <v>2.8500000000000005</v>
      </c>
      <c r="M44" s="493">
        <f>SUM(L44+(IF(ISBLANK(E44),C44,E44)))</f>
        <v>2.8000000000000007</v>
      </c>
      <c r="N44" s="493">
        <f>SUM(M44+(IF(ISBLANK(E44),C44,E44)))</f>
        <v>2.7500000000000009</v>
      </c>
      <c r="O44" s="219">
        <f>SUM(K44+L44+M44+N44)/4</f>
        <v>2.8250000000000002</v>
      </c>
      <c r="P44" s="493">
        <f>SUM(N44+(IF(ISBLANK(E44),C44,E44)))</f>
        <v>2.7000000000000011</v>
      </c>
      <c r="Q44" s="493">
        <f>SUM(P44+(IF(ISBLANK(E44),C44,E44)))</f>
        <v>2.6500000000000012</v>
      </c>
      <c r="R44" s="493">
        <f>SUM(Q44+(IF(ISBLANK(E44),C44,E44)))</f>
        <v>2.6000000000000014</v>
      </c>
      <c r="S44" s="493">
        <f>SUM(R44+(IF(ISBLANK(E44),C44,E44)))</f>
        <v>2.5500000000000016</v>
      </c>
      <c r="T44" s="214">
        <f>SUM(P44+Q44+R44+S44)/4</f>
        <v>2.6250000000000013</v>
      </c>
      <c r="U44" s="247"/>
      <c r="V44" s="213">
        <f>SUM(S44+(IF(ISBLANK(E44),C44,E44)))</f>
        <v>2.5000000000000018</v>
      </c>
      <c r="W44" s="219">
        <f>SUM(V44+(IF(ISBLANK(E44),C44,E44)))</f>
        <v>2.450000000000002</v>
      </c>
      <c r="X44" s="220">
        <f>SUM(W44+(IF(ISBLANK(E44),C44,E44)))</f>
        <v>2.4000000000000021</v>
      </c>
      <c r="Y44" s="247"/>
      <c r="Z44" s="581">
        <v>1.2</v>
      </c>
      <c r="AA44" s="619"/>
      <c r="AB44" s="495">
        <f>F44</f>
        <v>6</v>
      </c>
      <c r="AC44" s="493">
        <f>F44</f>
        <v>6</v>
      </c>
      <c r="AD44" s="493">
        <f>F44</f>
        <v>6</v>
      </c>
      <c r="AE44" s="493">
        <f>SUM((AB44+AC44+AD44)/3)</f>
        <v>6</v>
      </c>
      <c r="AF44" s="248"/>
      <c r="AG44" s="495">
        <f>G44</f>
        <v>5</v>
      </c>
      <c r="AH44" s="493">
        <f>G44</f>
        <v>5</v>
      </c>
      <c r="AI44" s="493">
        <f>G44</f>
        <v>5</v>
      </c>
      <c r="AJ44" s="493">
        <f>SUM((AG44+AH44+AI44)/3)</f>
        <v>5</v>
      </c>
      <c r="AK44" s="248"/>
      <c r="AL44" s="495">
        <f>H44</f>
        <v>3</v>
      </c>
      <c r="AM44" s="493">
        <f>H44</f>
        <v>3</v>
      </c>
      <c r="AN44" s="493">
        <f>H44</f>
        <v>3</v>
      </c>
      <c r="AO44" s="493">
        <f>SUM((AL44+AM44+AN44)/3)</f>
        <v>3</v>
      </c>
      <c r="AP44" s="248"/>
      <c r="AQ44" s="495">
        <f>I44</f>
        <v>2.95</v>
      </c>
      <c r="AR44" s="493">
        <f>I44</f>
        <v>2.95</v>
      </c>
      <c r="AS44" s="493">
        <f>I44</f>
        <v>2.95</v>
      </c>
      <c r="AT44" s="493">
        <f>SUM((AQ44+AR44+AS44)/3)</f>
        <v>2.9500000000000006</v>
      </c>
      <c r="AU44" s="248"/>
      <c r="AV44" s="619"/>
      <c r="AW44" s="495">
        <f>K44</f>
        <v>2.9000000000000004</v>
      </c>
      <c r="AX44" s="493">
        <f>K44</f>
        <v>2.9000000000000004</v>
      </c>
      <c r="AY44" s="493">
        <f>K44</f>
        <v>2.9000000000000004</v>
      </c>
      <c r="AZ44" s="493">
        <f>SUM((AW44+AX44+AY44)/3)</f>
        <v>2.9000000000000004</v>
      </c>
      <c r="BA44" s="248"/>
      <c r="BB44" s="495">
        <f>L44</f>
        <v>2.8500000000000005</v>
      </c>
      <c r="BC44" s="493">
        <f>L44</f>
        <v>2.8500000000000005</v>
      </c>
      <c r="BD44" s="493">
        <f>L44</f>
        <v>2.8500000000000005</v>
      </c>
      <c r="BE44" s="493">
        <f>SUM((BB44+BC44+BD44)/3)</f>
        <v>2.85</v>
      </c>
      <c r="BF44" s="248"/>
      <c r="BG44" s="495">
        <f>M44</f>
        <v>2.8000000000000007</v>
      </c>
      <c r="BH44" s="493">
        <f>M44</f>
        <v>2.8000000000000007</v>
      </c>
      <c r="BI44" s="493">
        <f>M44</f>
        <v>2.8000000000000007</v>
      </c>
      <c r="BJ44" s="493">
        <f>SUM((BG44+BH44+BI44)/3)</f>
        <v>2.8000000000000007</v>
      </c>
      <c r="BK44" s="248"/>
      <c r="BL44" s="495">
        <f>N44</f>
        <v>2.7500000000000009</v>
      </c>
      <c r="BM44" s="493">
        <f>N44</f>
        <v>2.7500000000000009</v>
      </c>
      <c r="BN44" s="493">
        <f>N44</f>
        <v>2.7500000000000009</v>
      </c>
      <c r="BO44" s="493">
        <f>SUM((BL44+BM44+BN44)/3)</f>
        <v>2.7500000000000013</v>
      </c>
      <c r="BP44" s="248"/>
      <c r="BQ44" s="247"/>
      <c r="BR44" s="495">
        <f>P44</f>
        <v>2.7000000000000011</v>
      </c>
      <c r="BS44" s="493">
        <f>P44</f>
        <v>2.7000000000000011</v>
      </c>
      <c r="BT44" s="493">
        <f>P44</f>
        <v>2.7000000000000011</v>
      </c>
      <c r="BU44" s="493">
        <f>SUM((BR44+BS44+BT44)/3)</f>
        <v>2.7000000000000011</v>
      </c>
      <c r="BV44" s="248"/>
      <c r="BW44" s="495">
        <f>Q44</f>
        <v>2.6500000000000012</v>
      </c>
      <c r="BX44" s="493">
        <f>Q44</f>
        <v>2.6500000000000012</v>
      </c>
      <c r="BY44" s="493">
        <f>Q44</f>
        <v>2.6500000000000012</v>
      </c>
      <c r="BZ44" s="493">
        <f>SUM((BW44+BX44+BY44)/3)</f>
        <v>2.6500000000000012</v>
      </c>
      <c r="CA44" s="248"/>
      <c r="CB44" s="495">
        <f>R44</f>
        <v>2.6000000000000014</v>
      </c>
      <c r="CC44" s="493">
        <f>R44</f>
        <v>2.6000000000000014</v>
      </c>
      <c r="CD44" s="493">
        <f>R44</f>
        <v>2.6000000000000014</v>
      </c>
      <c r="CE44" s="493">
        <f>SUM((CB44+CC44+CD44)/3)</f>
        <v>2.6000000000000014</v>
      </c>
      <c r="CF44" s="248"/>
      <c r="CG44" s="495">
        <f>S44</f>
        <v>2.5500000000000016</v>
      </c>
      <c r="CH44" s="493">
        <f>S44</f>
        <v>2.5500000000000016</v>
      </c>
      <c r="CI44" s="493">
        <f>S44</f>
        <v>2.5500000000000016</v>
      </c>
      <c r="CJ44" s="493">
        <f>SUM((CG44+CH44+CI44)/3)</f>
        <v>2.5500000000000016</v>
      </c>
      <c r="CK44" s="248"/>
    </row>
    <row r="45" spans="1:179" s="57" customFormat="1" ht="9.75" customHeight="1" x14ac:dyDescent="0.15">
      <c r="A45" s="488" t="s">
        <v>199</v>
      </c>
      <c r="B45" s="145">
        <v>0.3</v>
      </c>
      <c r="C45" s="218">
        <v>10000000</v>
      </c>
      <c r="D45" s="291"/>
      <c r="E45" s="229"/>
      <c r="F45" s="226">
        <v>0</v>
      </c>
      <c r="G45" s="227">
        <v>0</v>
      </c>
      <c r="H45" s="492">
        <f>SUM(G45+(IF(IF(ISBLANK(D45),B45,D45)*(G30/3)&gt;(IF(ISBLANK(E45),C45,E45)),IF(ISBLANK(E45),C45,E45),IF(ISBLANK(D45),B45,D45)*(G30/3))))</f>
        <v>0</v>
      </c>
      <c r="I45" s="491">
        <f>SUM(G45+(IF(IF(ISBLANK(D45),B45,D45)*(H30/3)&gt;(IF(ISBLANK(E45),C45,E45)),IF(ISBLANK(E45),C45,E45),IF(ISBLANK(D45),B45,D45)*(H30/3))))</f>
        <v>3383.4890428193812</v>
      </c>
      <c r="J45" s="217">
        <f t="shared" si="110"/>
        <v>10150.467128458144</v>
      </c>
      <c r="K45" s="492">
        <f>SUM(G45+(IF(IF(ISBLANK(D45),B45,D45)*(I30/3)&gt;(IF(ISBLANK(E45),C45,E45)),IF(ISBLANK(E45),C45,E45),IF(ISBLANK(D45),B45,D45)*(I30/3))))</f>
        <v>15887.546180364247</v>
      </c>
      <c r="L45" s="492">
        <f>SUM(G45+(IF(IF(ISBLANK(D45),B45,D45)*(K30/3)&gt;(IF(ISBLANK(E45),C45,E45)),IF(ISBLANK(E45),C45,E45),IF(ISBLANK(D45),B45,D45)*(K30/3))))</f>
        <v>40807.687300501108</v>
      </c>
      <c r="M45" s="492">
        <f>SUM(G45+(IF(IF(ISBLANK(D45),B45,D45)*(L30/3)&gt;(IF(ISBLANK(E45),C45,E45)),IF(ISBLANK(E45),C45,E45),IF(ISBLANK(D45),B45,D45)*(L30/3))))</f>
        <v>84341.02264839159</v>
      </c>
      <c r="N45" s="492">
        <f>SUM(G45+(IF(IF(ISBLANK(D45),B45,D45)*(M30/3)&gt;(IF(ISBLANK(E45),C45,E45)),IF(ISBLANK(E45),C45,E45),IF(ISBLANK(D45),B45,D45)*(M30/3))))</f>
        <v>161848.59704760124</v>
      </c>
      <c r="O45" s="217">
        <f t="shared" si="111"/>
        <v>908654.5595305746</v>
      </c>
      <c r="P45" s="492">
        <f>SUM(G45+(IF(IF(ISBLANK(D45),B45,D45)*(N30/3)&gt;(IF(ISBLANK(E45),C45,E45)),IF(ISBLANK(E45),C45,E45),IF(ISBLANK(D45),B45,D45)*(N30/3))))</f>
        <v>308416.34725068964</v>
      </c>
      <c r="Q45" s="492">
        <f>SUM(G45+(IF(IF(ISBLANK(D45),B45,D45)*(P30/3)&gt;(IF(ISBLANK(E45),C45,E45)),IF(ISBLANK(E45),C45,E45),IF(ISBLANK(D45),B45,D45)*(P30/3))))</f>
        <v>618478.59468920901</v>
      </c>
      <c r="R45" s="492">
        <f>SUM(G45+(IF(IF(ISBLANK(D45),B45,D45)*(Q30/3)&gt;(IF(ISBLANK(E45),C45,E45)),IF(ISBLANK(E45),C45,E45),IF(ISBLANK(D45),B45,D45)*(Q30/3))))</f>
        <v>1218661.9809388253</v>
      </c>
      <c r="S45" s="492">
        <f>SUM(G45+(IF(IF(ISBLANK(D45),B45,D45)*(R30/3)&gt;(IF(ISBLANK(E45),C45,E45)),IF(ISBLANK(E45),C45,E45),IF(ISBLANK(D45),B45,D45)*(R30/3))))</f>
        <v>2458219.0351935159</v>
      </c>
      <c r="T45" s="218">
        <f t="shared" si="112"/>
        <v>13811327.87421672</v>
      </c>
      <c r="U45" s="221"/>
      <c r="V45" s="239">
        <f>SUM(G45+(IF(IF(ISBLANK(D45),B45,D45)*(S30)&gt;(IF(ISBLANK(E45),C45,E45)),IF(ISBLANK(E45),C45,E45),IF(ISBLANK(D45),B45,D45)*(S30))))</f>
        <v>10000000</v>
      </c>
      <c r="W45" s="217">
        <f>SUM(G45+(IF(IF(ISBLANK(D45),B45,D45)*(V30)&gt;(IF(ISBLANK(E45),C45,E45)),IF(ISBLANK(E45),C45,E45),IF(ISBLANK(D45),B45,D45)*(V30))))</f>
        <v>10000000</v>
      </c>
      <c r="X45" s="242">
        <f>SUM(G45+(IF(IF(ISBLANK(D45),B45,D45)*(W30)&gt;(IF(ISBLANK(E45),C45,E45)),IF(ISBLANK(E45),C45,E45),IF(ISBLANK(D45),B45,D45)*(W30))))</f>
        <v>10000000</v>
      </c>
      <c r="Y45" s="221"/>
      <c r="Z45" s="578">
        <v>0</v>
      </c>
      <c r="AA45" s="617"/>
      <c r="AB45" s="532">
        <f t="shared" si="113"/>
        <v>0</v>
      </c>
      <c r="AC45" s="492">
        <f t="shared" si="114"/>
        <v>0</v>
      </c>
      <c r="AD45" s="492">
        <f t="shared" si="115"/>
        <v>0</v>
      </c>
      <c r="AE45" s="492">
        <f>SUM(AB45:AD45)</f>
        <v>0</v>
      </c>
      <c r="AF45" s="222"/>
      <c r="AG45" s="532">
        <f t="shared" si="116"/>
        <v>0</v>
      </c>
      <c r="AH45" s="492">
        <f t="shared" si="117"/>
        <v>0</v>
      </c>
      <c r="AI45" s="492">
        <f t="shared" si="118"/>
        <v>0</v>
      </c>
      <c r="AJ45" s="492">
        <f t="shared" si="99"/>
        <v>0</v>
      </c>
      <c r="AK45" s="222"/>
      <c r="AL45" s="532">
        <f t="shared" si="119"/>
        <v>0</v>
      </c>
      <c r="AM45" s="492">
        <f t="shared" si="120"/>
        <v>0</v>
      </c>
      <c r="AN45" s="492">
        <f t="shared" si="121"/>
        <v>0</v>
      </c>
      <c r="AO45" s="492">
        <f>SUM(AL45:AN45)</f>
        <v>0</v>
      </c>
      <c r="AP45" s="222"/>
      <c r="AQ45" s="532">
        <f t="shared" si="122"/>
        <v>3383.4890428193812</v>
      </c>
      <c r="AR45" s="492">
        <f t="shared" si="123"/>
        <v>3383.4890428193812</v>
      </c>
      <c r="AS45" s="492">
        <f t="shared" si="124"/>
        <v>3383.4890428193812</v>
      </c>
      <c r="AT45" s="492">
        <f>SUM(AQ45:AS45)</f>
        <v>10150.467128458144</v>
      </c>
      <c r="AU45" s="222"/>
      <c r="AV45" s="617"/>
      <c r="AW45" s="532">
        <f t="shared" si="125"/>
        <v>15887.546180364247</v>
      </c>
      <c r="AX45" s="492">
        <f t="shared" si="126"/>
        <v>15887.546180364247</v>
      </c>
      <c r="AY45" s="492">
        <f t="shared" si="127"/>
        <v>15887.546180364247</v>
      </c>
      <c r="AZ45" s="492">
        <f>SUM(AW45:AY45)</f>
        <v>47662.63854109274</v>
      </c>
      <c r="BA45" s="222"/>
      <c r="BB45" s="532">
        <f t="shared" si="128"/>
        <v>40807.687300501108</v>
      </c>
      <c r="BC45" s="492">
        <f t="shared" si="129"/>
        <v>40807.687300501108</v>
      </c>
      <c r="BD45" s="492">
        <f t="shared" si="130"/>
        <v>40807.687300501108</v>
      </c>
      <c r="BE45" s="492">
        <f>SUM(BB45:BD45)</f>
        <v>122423.06190150333</v>
      </c>
      <c r="BF45" s="222"/>
      <c r="BG45" s="532">
        <f t="shared" si="131"/>
        <v>84341.02264839159</v>
      </c>
      <c r="BH45" s="492">
        <f t="shared" si="132"/>
        <v>84341.02264839159</v>
      </c>
      <c r="BI45" s="492">
        <f t="shared" si="133"/>
        <v>84341.02264839159</v>
      </c>
      <c r="BJ45" s="492">
        <f>SUM(BG45:BI45)</f>
        <v>253023.06794517476</v>
      </c>
      <c r="BK45" s="222"/>
      <c r="BL45" s="532">
        <f t="shared" si="134"/>
        <v>161848.59704760124</v>
      </c>
      <c r="BM45" s="492">
        <f t="shared" si="135"/>
        <v>161848.59704760124</v>
      </c>
      <c r="BN45" s="492">
        <f t="shared" si="136"/>
        <v>161848.59704760124</v>
      </c>
      <c r="BO45" s="492">
        <f>SUM(BL45:BN45)</f>
        <v>485545.79114280373</v>
      </c>
      <c r="BP45" s="222"/>
      <c r="BQ45" s="221"/>
      <c r="BR45" s="532">
        <f t="shared" si="137"/>
        <v>308416.34725068964</v>
      </c>
      <c r="BS45" s="492">
        <f>P45</f>
        <v>308416.34725068964</v>
      </c>
      <c r="BT45" s="492">
        <f t="shared" si="139"/>
        <v>308416.34725068964</v>
      </c>
      <c r="BU45" s="492">
        <f>SUM(BR45:BT45)</f>
        <v>925249.04175206891</v>
      </c>
      <c r="BV45" s="222"/>
      <c r="BW45" s="532">
        <f t="shared" si="140"/>
        <v>618478.59468920901</v>
      </c>
      <c r="BX45" s="492">
        <f t="shared" si="141"/>
        <v>618478.59468920901</v>
      </c>
      <c r="BY45" s="492">
        <f t="shared" si="142"/>
        <v>618478.59468920901</v>
      </c>
      <c r="BZ45" s="492">
        <f>SUM(BW45:BY45)</f>
        <v>1855435.784067627</v>
      </c>
      <c r="CA45" s="222"/>
      <c r="CB45" s="532">
        <f t="shared" si="143"/>
        <v>1218661.9809388253</v>
      </c>
      <c r="CC45" s="492">
        <f t="shared" si="144"/>
        <v>1218661.9809388253</v>
      </c>
      <c r="CD45" s="492">
        <f t="shared" si="145"/>
        <v>1218661.9809388253</v>
      </c>
      <c r="CE45" s="492">
        <f>SUM(CB45:CD45)</f>
        <v>3655985.9428164759</v>
      </c>
      <c r="CF45" s="222"/>
      <c r="CG45" s="532">
        <f t="shared" si="146"/>
        <v>2458219.0351935159</v>
      </c>
      <c r="CH45" s="492">
        <f t="shared" si="147"/>
        <v>2458219.0351935159</v>
      </c>
      <c r="CI45" s="492">
        <f t="shared" si="148"/>
        <v>2458219.0351935159</v>
      </c>
      <c r="CJ45" s="492">
        <f>SUM(CG45:CI45)</f>
        <v>7374657.1055805478</v>
      </c>
      <c r="CK45" s="222"/>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row>
    <row r="46" spans="1:179" s="57" customFormat="1" ht="9.75" customHeight="1" x14ac:dyDescent="0.15">
      <c r="A46" s="488" t="s">
        <v>200</v>
      </c>
      <c r="B46" s="239">
        <v>100000</v>
      </c>
      <c r="C46" s="218"/>
      <c r="D46" s="228"/>
      <c r="E46" s="229"/>
      <c r="F46" s="226">
        <v>1000</v>
      </c>
      <c r="G46" s="227">
        <f>SUM((IF(ISBLANK(D46),B46,D46)/3)*0.35)</f>
        <v>11666.666666666666</v>
      </c>
      <c r="H46" s="492">
        <f>SUM((IF(ISBLANK(D46),B46,D46)/3)*0.3)</f>
        <v>10000</v>
      </c>
      <c r="I46" s="491">
        <f>SUM((IF(ISBLANK(D46),B46,D46)/3)*0.2)</f>
        <v>6666.6666666666679</v>
      </c>
      <c r="J46" s="217">
        <f>SUM(F46:I46)*3</f>
        <v>88000</v>
      </c>
      <c r="K46" s="492">
        <f>SUM((IF(ISBLANK(D46),B46,D46)/3)*0.15)</f>
        <v>5000</v>
      </c>
      <c r="L46" s="492">
        <v>0</v>
      </c>
      <c r="M46" s="492">
        <v>0</v>
      </c>
      <c r="N46" s="492">
        <v>0</v>
      </c>
      <c r="O46" s="217">
        <f>SUM(K46:N46)*3</f>
        <v>15000</v>
      </c>
      <c r="P46" s="492">
        <v>0</v>
      </c>
      <c r="Q46" s="492">
        <v>0</v>
      </c>
      <c r="R46" s="492">
        <v>0</v>
      </c>
      <c r="S46" s="492">
        <v>0</v>
      </c>
      <c r="T46" s="218">
        <f>SUM(P46:S46)*3</f>
        <v>0</v>
      </c>
      <c r="U46" s="221"/>
      <c r="V46" s="239">
        <v>0</v>
      </c>
      <c r="W46" s="217">
        <v>0</v>
      </c>
      <c r="X46" s="242">
        <v>0</v>
      </c>
      <c r="Y46" s="221"/>
      <c r="Z46" s="578">
        <v>2000</v>
      </c>
      <c r="AA46" s="617"/>
      <c r="AB46" s="532">
        <f t="shared" si="113"/>
        <v>1000</v>
      </c>
      <c r="AC46" s="492">
        <f t="shared" si="114"/>
        <v>1000</v>
      </c>
      <c r="AD46" s="492">
        <f t="shared" si="115"/>
        <v>1000</v>
      </c>
      <c r="AE46" s="492">
        <f>SUM(AB46:AD46)</f>
        <v>3000</v>
      </c>
      <c r="AF46" s="222"/>
      <c r="AG46" s="532">
        <f t="shared" si="116"/>
        <v>11666.666666666666</v>
      </c>
      <c r="AH46" s="492">
        <f t="shared" si="117"/>
        <v>11666.666666666666</v>
      </c>
      <c r="AI46" s="492">
        <f t="shared" si="118"/>
        <v>11666.666666666666</v>
      </c>
      <c r="AJ46" s="492">
        <f t="shared" si="99"/>
        <v>35000</v>
      </c>
      <c r="AK46" s="222"/>
      <c r="AL46" s="532">
        <f t="shared" si="119"/>
        <v>10000</v>
      </c>
      <c r="AM46" s="492">
        <f t="shared" si="120"/>
        <v>10000</v>
      </c>
      <c r="AN46" s="492">
        <f t="shared" si="121"/>
        <v>10000</v>
      </c>
      <c r="AO46" s="492">
        <f>SUM(AL46:AN46)</f>
        <v>30000</v>
      </c>
      <c r="AP46" s="222"/>
      <c r="AQ46" s="532">
        <f t="shared" si="122"/>
        <v>6666.6666666666679</v>
      </c>
      <c r="AR46" s="492">
        <f t="shared" si="123"/>
        <v>6666.6666666666679</v>
      </c>
      <c r="AS46" s="492">
        <f t="shared" si="124"/>
        <v>6666.6666666666679</v>
      </c>
      <c r="AT46" s="492">
        <f>SUM(AQ46:AS46)</f>
        <v>20000.000000000004</v>
      </c>
      <c r="AU46" s="222"/>
      <c r="AV46" s="617"/>
      <c r="AW46" s="532">
        <f t="shared" si="125"/>
        <v>5000</v>
      </c>
      <c r="AX46" s="492">
        <f t="shared" si="126"/>
        <v>5000</v>
      </c>
      <c r="AY46" s="492">
        <f t="shared" si="127"/>
        <v>5000</v>
      </c>
      <c r="AZ46" s="492">
        <f>SUM(AW46:AY46)</f>
        <v>15000</v>
      </c>
      <c r="BA46" s="222"/>
      <c r="BB46" s="532">
        <f t="shared" si="128"/>
        <v>0</v>
      </c>
      <c r="BC46" s="492">
        <f t="shared" si="129"/>
        <v>0</v>
      </c>
      <c r="BD46" s="492">
        <f t="shared" si="130"/>
        <v>0</v>
      </c>
      <c r="BE46" s="492">
        <f>SUM(BB46:BD46)</f>
        <v>0</v>
      </c>
      <c r="BF46" s="222"/>
      <c r="BG46" s="532">
        <f t="shared" si="131"/>
        <v>0</v>
      </c>
      <c r="BH46" s="492">
        <f t="shared" si="132"/>
        <v>0</v>
      </c>
      <c r="BI46" s="492">
        <f t="shared" si="133"/>
        <v>0</v>
      </c>
      <c r="BJ46" s="492">
        <f>SUM(BG46:BI46)</f>
        <v>0</v>
      </c>
      <c r="BK46" s="222"/>
      <c r="BL46" s="532">
        <f t="shared" si="134"/>
        <v>0</v>
      </c>
      <c r="BM46" s="492">
        <f t="shared" si="135"/>
        <v>0</v>
      </c>
      <c r="BN46" s="492">
        <f t="shared" si="136"/>
        <v>0</v>
      </c>
      <c r="BO46" s="492">
        <f>SUM(BL46:BN46)</f>
        <v>0</v>
      </c>
      <c r="BP46" s="222"/>
      <c r="BQ46" s="221"/>
      <c r="BR46" s="532">
        <f t="shared" si="137"/>
        <v>0</v>
      </c>
      <c r="BS46" s="492">
        <f>P46</f>
        <v>0</v>
      </c>
      <c r="BT46" s="492">
        <f t="shared" si="139"/>
        <v>0</v>
      </c>
      <c r="BU46" s="492">
        <f>SUM(BR46:BT46)</f>
        <v>0</v>
      </c>
      <c r="BV46" s="222"/>
      <c r="BW46" s="532">
        <f t="shared" si="140"/>
        <v>0</v>
      </c>
      <c r="BX46" s="492">
        <f t="shared" si="141"/>
        <v>0</v>
      </c>
      <c r="BY46" s="492">
        <f t="shared" si="142"/>
        <v>0</v>
      </c>
      <c r="BZ46" s="492">
        <f>SUM(BW46:BY46)</f>
        <v>0</v>
      </c>
      <c r="CA46" s="222"/>
      <c r="CB46" s="532">
        <f t="shared" si="143"/>
        <v>0</v>
      </c>
      <c r="CC46" s="492">
        <f t="shared" si="144"/>
        <v>0</v>
      </c>
      <c r="CD46" s="492">
        <f t="shared" si="145"/>
        <v>0</v>
      </c>
      <c r="CE46" s="492">
        <f>SUM(CB46:CD46)</f>
        <v>0</v>
      </c>
      <c r="CF46" s="222"/>
      <c r="CG46" s="532">
        <f t="shared" si="146"/>
        <v>0</v>
      </c>
      <c r="CH46" s="492">
        <f t="shared" si="147"/>
        <v>0</v>
      </c>
      <c r="CI46" s="492">
        <f t="shared" si="148"/>
        <v>0</v>
      </c>
      <c r="CJ46" s="492">
        <f>SUM(CG46:CI46)</f>
        <v>0</v>
      </c>
      <c r="CK46" s="222"/>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row>
    <row r="47" spans="1:179" s="57" customFormat="1" ht="9.75" customHeight="1" x14ac:dyDescent="0.15">
      <c r="A47" s="421" t="s">
        <v>239</v>
      </c>
      <c r="B47" s="249"/>
      <c r="C47" s="250"/>
      <c r="D47" s="249"/>
      <c r="E47" s="251"/>
      <c r="F47" s="419">
        <f>AE47</f>
        <v>132082.35642221541</v>
      </c>
      <c r="G47" s="420">
        <f>AJ47</f>
        <v>164168.57042458723</v>
      </c>
      <c r="H47" s="420">
        <f>AO47</f>
        <v>181632.26018698377</v>
      </c>
      <c r="I47" s="420">
        <f>AT47</f>
        <v>256538.24658410822</v>
      </c>
      <c r="J47" s="211">
        <f>SUM(F47:I47)</f>
        <v>734421.43361789465</v>
      </c>
      <c r="K47" s="420">
        <f>AZ47</f>
        <v>471592.42512322171</v>
      </c>
      <c r="L47" s="420">
        <f>BE47</f>
        <v>835306.5905212888</v>
      </c>
      <c r="M47" s="420">
        <f>BJ47</f>
        <v>1488704.1577943664</v>
      </c>
      <c r="N47" s="420">
        <f>BO47</f>
        <v>2628586.0303277425</v>
      </c>
      <c r="O47" s="211">
        <f>SUM(K47:N47)</f>
        <v>5424189.2037666198</v>
      </c>
      <c r="P47" s="420">
        <f>BU47</f>
        <v>4684114.1179626547</v>
      </c>
      <c r="Q47" s="420">
        <f>BZ47</f>
        <v>8558234.3705756254</v>
      </c>
      <c r="R47" s="420">
        <f>CE47</f>
        <v>15503636.483664477</v>
      </c>
      <c r="S47" s="420">
        <f>CJ47</f>
        <v>28562762.131381504</v>
      </c>
      <c r="T47" s="230">
        <f>SUM(P47:S47)</f>
        <v>57308747.10358426</v>
      </c>
      <c r="U47" s="232"/>
      <c r="V47" s="231">
        <f>SUM(V33:V45)</f>
        <v>346280220.65814662</v>
      </c>
      <c r="W47" s="211">
        <f>SUM(W33:W45)</f>
        <v>664486620.21529746</v>
      </c>
      <c r="X47" s="212">
        <f>SUM(X33:X45)</f>
        <v>1272455468.3935089</v>
      </c>
      <c r="Y47" s="232"/>
      <c r="Z47" s="579">
        <f>SUM(Z33:Z46)</f>
        <v>1083618.2</v>
      </c>
      <c r="AA47" s="618"/>
      <c r="AB47" s="535">
        <f>SUM(AB33:AB46)</f>
        <v>44027.452140738467</v>
      </c>
      <c r="AC47" s="420">
        <f>SUM(AC33:AC46)</f>
        <v>44027.452140738467</v>
      </c>
      <c r="AD47" s="420">
        <f>SUM(AD33:AD46)</f>
        <v>44027.452140738467</v>
      </c>
      <c r="AE47" s="211">
        <f>SUM(AB47:AD47)</f>
        <v>132082.35642221541</v>
      </c>
      <c r="AF47" s="212"/>
      <c r="AG47" s="535">
        <f>SUM(AG33:AG46)</f>
        <v>54722.856808195742</v>
      </c>
      <c r="AH47" s="420">
        <f>SUM(AH33:AH46)</f>
        <v>54722.856808195742</v>
      </c>
      <c r="AI47" s="420">
        <f>SUM(AI33:AI46)</f>
        <v>54722.856808195742</v>
      </c>
      <c r="AJ47" s="211">
        <f>SUM(AG47:AI47)</f>
        <v>164168.57042458723</v>
      </c>
      <c r="AK47" s="212"/>
      <c r="AL47" s="535">
        <f>SUM(AL33:AL46)</f>
        <v>60544.086728994589</v>
      </c>
      <c r="AM47" s="420">
        <f>SUM(AM33:AM46)</f>
        <v>60544.086728994589</v>
      </c>
      <c r="AN47" s="420">
        <f>SUM(AN33:AN46)</f>
        <v>60544.086728994589</v>
      </c>
      <c r="AO47" s="211">
        <f>SUM(AL47:AN47)</f>
        <v>181632.26018698377</v>
      </c>
      <c r="AP47" s="212"/>
      <c r="AQ47" s="535">
        <f>SUM(AQ33:AQ46)</f>
        <v>85512.7488613694</v>
      </c>
      <c r="AR47" s="420">
        <f>SUM(AR33:AR46)</f>
        <v>85512.7488613694</v>
      </c>
      <c r="AS47" s="420">
        <f>SUM(AS33:AS46)</f>
        <v>85512.7488613694</v>
      </c>
      <c r="AT47" s="211">
        <f>SUM(AQ47:AS47)</f>
        <v>256538.24658410822</v>
      </c>
      <c r="AU47" s="212"/>
      <c r="AV47" s="618"/>
      <c r="AW47" s="535">
        <f>SUM(AW33:AW46)</f>
        <v>157197.47504107389</v>
      </c>
      <c r="AX47" s="420">
        <f>SUM(AX33:AX46)</f>
        <v>157197.47504107389</v>
      </c>
      <c r="AY47" s="420">
        <f>SUM(AY33:AY46)</f>
        <v>157197.47504107389</v>
      </c>
      <c r="AZ47" s="211">
        <f>SUM(AW47:AY47)</f>
        <v>471592.42512322171</v>
      </c>
      <c r="BA47" s="212"/>
      <c r="BB47" s="535">
        <f>SUM(BB33:BB46)</f>
        <v>278435.53017376293</v>
      </c>
      <c r="BC47" s="420">
        <f>SUM(BC33:BC46)</f>
        <v>278435.53017376293</v>
      </c>
      <c r="BD47" s="420">
        <f>SUM(BD33:BD46)</f>
        <v>278435.53017376293</v>
      </c>
      <c r="BE47" s="211">
        <f>SUM(BB47:BD47)</f>
        <v>835306.5905212888</v>
      </c>
      <c r="BF47" s="212"/>
      <c r="BG47" s="535">
        <f>SUM(BG33:BG46)</f>
        <v>496234.71926478879</v>
      </c>
      <c r="BH47" s="420">
        <f>SUM(BH33:BH46)</f>
        <v>496234.71926478879</v>
      </c>
      <c r="BI47" s="420">
        <f>SUM(BI33:BI46)</f>
        <v>496234.71926478879</v>
      </c>
      <c r="BJ47" s="211">
        <f>SUM(BG47:BI47)</f>
        <v>1488704.1577943664</v>
      </c>
      <c r="BK47" s="212"/>
      <c r="BL47" s="535">
        <f>SUM(BL33:BL46)</f>
        <v>876195.34344258078</v>
      </c>
      <c r="BM47" s="420">
        <f>SUM(BM33:BM46)</f>
        <v>876195.34344258078</v>
      </c>
      <c r="BN47" s="420">
        <f>SUM(BN33:BN46)</f>
        <v>876195.34344258078</v>
      </c>
      <c r="BO47" s="211">
        <f>SUM(BL47:BN47)</f>
        <v>2628586.0303277425</v>
      </c>
      <c r="BP47" s="212"/>
      <c r="BQ47" s="232"/>
      <c r="BR47" s="535">
        <f>SUM(BR33:BR46)</f>
        <v>1561371.3726542182</v>
      </c>
      <c r="BS47" s="420">
        <f>SUM(BS33:BS46)</f>
        <v>1561371.3726542182</v>
      </c>
      <c r="BT47" s="420">
        <f>SUM(BT33:BT46)</f>
        <v>1561371.3726542182</v>
      </c>
      <c r="BU47" s="211">
        <f>SUM(BR47:BT47)</f>
        <v>4684114.1179626547</v>
      </c>
      <c r="BV47" s="212"/>
      <c r="BW47" s="535">
        <f>SUM(BW33:BW46)</f>
        <v>2852744.7901918753</v>
      </c>
      <c r="BX47" s="420">
        <f>SUM(BX33:BX46)</f>
        <v>2852744.7901918753</v>
      </c>
      <c r="BY47" s="420">
        <f>SUM(BY33:BY46)</f>
        <v>2852744.7901918753</v>
      </c>
      <c r="BZ47" s="211">
        <f>SUM(BW47:BY47)</f>
        <v>8558234.3705756254</v>
      </c>
      <c r="CA47" s="212"/>
      <c r="CB47" s="535">
        <f>SUM(CB33:CB46)</f>
        <v>5167878.8278881591</v>
      </c>
      <c r="CC47" s="420">
        <f>SUM(CC33:CC46)</f>
        <v>5167878.8278881591</v>
      </c>
      <c r="CD47" s="420">
        <f>SUM(CD33:CD46)</f>
        <v>5167878.8278881591</v>
      </c>
      <c r="CE47" s="211">
        <f>SUM(CB47:CD47)</f>
        <v>15503636.483664477</v>
      </c>
      <c r="CF47" s="212"/>
      <c r="CG47" s="535">
        <f>SUM(CG33:CG46)</f>
        <v>9520920.7104605008</v>
      </c>
      <c r="CH47" s="420">
        <f>SUM(CH33:CH46)</f>
        <v>9520920.7104605008</v>
      </c>
      <c r="CI47" s="420">
        <f>SUM(CI33:CI46)</f>
        <v>9520920.7104605008</v>
      </c>
      <c r="CJ47" s="211">
        <f>SUM(CG47:CI47)</f>
        <v>28562762.131381504</v>
      </c>
      <c r="CK47" s="212"/>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row>
    <row r="48" spans="1:179" s="55" customFormat="1" ht="4.5" customHeight="1" thickBot="1" x14ac:dyDescent="0.2">
      <c r="A48" s="252"/>
      <c r="B48" s="192"/>
      <c r="C48" s="197"/>
      <c r="D48" s="192"/>
      <c r="E48" s="193"/>
      <c r="F48" s="253"/>
      <c r="G48" s="254"/>
      <c r="H48" s="254"/>
      <c r="I48" s="254"/>
      <c r="J48" s="254"/>
      <c r="K48" s="254"/>
      <c r="L48" s="254"/>
      <c r="M48" s="254"/>
      <c r="N48" s="254"/>
      <c r="O48" s="254"/>
      <c r="P48" s="254"/>
      <c r="Q48" s="254"/>
      <c r="R48" s="254"/>
      <c r="S48" s="254"/>
      <c r="T48" s="255"/>
      <c r="U48" s="258"/>
      <c r="V48" s="256"/>
      <c r="W48" s="254"/>
      <c r="X48" s="257"/>
      <c r="Y48" s="258"/>
      <c r="Z48" s="582"/>
      <c r="AA48" s="620"/>
      <c r="AB48" s="595"/>
      <c r="AC48" s="259"/>
      <c r="AD48" s="259"/>
      <c r="AE48" s="259"/>
      <c r="AF48" s="600"/>
      <c r="AG48" s="595"/>
      <c r="AH48" s="259"/>
      <c r="AI48" s="259"/>
      <c r="AJ48" s="259"/>
      <c r="AK48" s="600"/>
      <c r="AL48" s="595"/>
      <c r="AM48" s="259"/>
      <c r="AN48" s="259"/>
      <c r="AO48" s="259"/>
      <c r="AP48" s="600"/>
      <c r="AQ48" s="595"/>
      <c r="AR48" s="259"/>
      <c r="AS48" s="259"/>
      <c r="AT48" s="259"/>
      <c r="AU48" s="600"/>
      <c r="AV48" s="620"/>
      <c r="AW48" s="595"/>
      <c r="AX48" s="259"/>
      <c r="AY48" s="259"/>
      <c r="AZ48" s="259"/>
      <c r="BA48" s="600"/>
      <c r="BB48" s="595"/>
      <c r="BC48" s="259"/>
      <c r="BD48" s="259"/>
      <c r="BE48" s="259"/>
      <c r="BF48" s="600"/>
      <c r="BG48" s="595"/>
      <c r="BH48" s="259"/>
      <c r="BI48" s="259"/>
      <c r="BJ48" s="259"/>
      <c r="BK48" s="600"/>
      <c r="BL48" s="595"/>
      <c r="BM48" s="259"/>
      <c r="BN48" s="259"/>
      <c r="BO48" s="259"/>
      <c r="BP48" s="600"/>
      <c r="BQ48" s="258"/>
      <c r="BR48" s="595"/>
      <c r="BS48" s="259"/>
      <c r="BT48" s="259"/>
      <c r="BU48" s="259"/>
      <c r="BV48" s="600"/>
      <c r="BW48" s="595"/>
      <c r="BX48" s="259"/>
      <c r="BY48" s="259"/>
      <c r="BZ48" s="259"/>
      <c r="CA48" s="600"/>
      <c r="CB48" s="595"/>
      <c r="CC48" s="259"/>
      <c r="CD48" s="259"/>
      <c r="CE48" s="259"/>
      <c r="CF48" s="600"/>
      <c r="CG48" s="595"/>
      <c r="CH48" s="259"/>
      <c r="CI48" s="259"/>
      <c r="CJ48" s="260"/>
      <c r="CK48" s="261"/>
    </row>
    <row r="49" spans="1:179" s="57" customFormat="1" ht="15" customHeight="1" thickBot="1" x14ac:dyDescent="0.2">
      <c r="A49" s="433" t="s">
        <v>221</v>
      </c>
      <c r="B49" s="262"/>
      <c r="C49" s="263"/>
      <c r="D49" s="262"/>
      <c r="E49" s="264"/>
      <c r="F49" s="265">
        <f>AE49</f>
        <v>-132082.35642221541</v>
      </c>
      <c r="G49" s="266">
        <f>AJ49</f>
        <v>-164168.57042458723</v>
      </c>
      <c r="H49" s="266">
        <f>AO49</f>
        <v>-147797.36975878995</v>
      </c>
      <c r="I49" s="266">
        <f>AT49</f>
        <v>-97662.784780465736</v>
      </c>
      <c r="J49" s="267">
        <f>SUM(F49:I49)</f>
        <v>-541711.08138605836</v>
      </c>
      <c r="K49" s="266">
        <f>AZ49</f>
        <v>-63515.552118210646</v>
      </c>
      <c r="L49" s="268">
        <f>BE49</f>
        <v>8103.6359626271296</v>
      </c>
      <c r="M49" s="268">
        <f>BJ49</f>
        <v>129781.81268164632</v>
      </c>
      <c r="N49" s="268">
        <f>BO49</f>
        <v>455577.44217915414</v>
      </c>
      <c r="O49" s="267">
        <f>SUM(K49:N49)</f>
        <v>529947.338705217</v>
      </c>
      <c r="P49" s="268">
        <f>BU49</f>
        <v>1500671.8289294355</v>
      </c>
      <c r="Q49" s="268">
        <f>BZ49</f>
        <v>3628385.4388126284</v>
      </c>
      <c r="R49" s="268">
        <f>CE49</f>
        <v>9078553.8682706822</v>
      </c>
      <c r="S49" s="268">
        <f>CJ49</f>
        <v>22096065.116168201</v>
      </c>
      <c r="T49" s="269">
        <f>SUM(P49:S49)</f>
        <v>36303676.252180949</v>
      </c>
      <c r="U49" s="272"/>
      <c r="V49" s="270">
        <f>SUM(V30-V47)</f>
        <v>205832726.8909713</v>
      </c>
      <c r="W49" s="267">
        <f>SUM(W30-W47)</f>
        <v>794455672.87781286</v>
      </c>
      <c r="X49" s="271">
        <f>SUM(X30-X47)</f>
        <v>1804047212.3919506</v>
      </c>
      <c r="Y49" s="272"/>
      <c r="Z49" s="583">
        <f>SUM(Z30-Z47)</f>
        <v>-1083618.2</v>
      </c>
      <c r="AA49" s="621"/>
      <c r="AB49" s="596">
        <f>AB30-AB47</f>
        <v>-44027.452140738467</v>
      </c>
      <c r="AC49" s="273">
        <f>AC30-AC47</f>
        <v>-44027.452140738467</v>
      </c>
      <c r="AD49" s="273">
        <f>AD30-AD47</f>
        <v>-44027.452140738467</v>
      </c>
      <c r="AE49" s="274">
        <f>AE30-AE47</f>
        <v>-132082.35642221541</v>
      </c>
      <c r="AF49" s="601"/>
      <c r="AG49" s="596">
        <f>AG30-AG47</f>
        <v>-54722.856808195742</v>
      </c>
      <c r="AH49" s="273">
        <f>AH30-AH47</f>
        <v>-54722.856808195742</v>
      </c>
      <c r="AI49" s="273">
        <f>AI30-AI47</f>
        <v>-54722.856808195742</v>
      </c>
      <c r="AJ49" s="274">
        <f>AJ30-AJ47</f>
        <v>-164168.57042458723</v>
      </c>
      <c r="AK49" s="601"/>
      <c r="AL49" s="596">
        <f>AL30-AL47</f>
        <v>-53956.326048886927</v>
      </c>
      <c r="AM49" s="273">
        <f>AM30-AM47</f>
        <v>-49445.795529903829</v>
      </c>
      <c r="AN49" s="273">
        <f>AN30-AN47</f>
        <v>-44395.248179999195</v>
      </c>
      <c r="AO49" s="274">
        <f>AO30-AO47</f>
        <v>-147797.36975878995</v>
      </c>
      <c r="AP49" s="601"/>
      <c r="AQ49" s="596">
        <f>AQ30-AQ47</f>
        <v>-44496.442587162688</v>
      </c>
      <c r="AR49" s="273">
        <f>AR30-AR47</f>
        <v>-32896.563304796895</v>
      </c>
      <c r="AS49" s="273">
        <f>AS30-AS47</f>
        <v>-20269.778888506124</v>
      </c>
      <c r="AT49" s="274">
        <f>AT30-AT47</f>
        <v>-97662.784780465736</v>
      </c>
      <c r="AU49" s="601"/>
      <c r="AV49" s="621"/>
      <c r="AW49" s="596">
        <f>AW30-AW47</f>
        <v>-43520.863273819763</v>
      </c>
      <c r="AX49" s="273">
        <f>AX30-AX47</f>
        <v>-21610.035825705418</v>
      </c>
      <c r="AY49" s="273">
        <f>AY30-AY47</f>
        <v>1615.3469813145639</v>
      </c>
      <c r="AZ49" s="274">
        <f>AZ30-AZ47</f>
        <v>-63515.552118210646</v>
      </c>
      <c r="BA49" s="601"/>
      <c r="BB49" s="596">
        <f>BB30-BB47</f>
        <v>-36831.024663139455</v>
      </c>
      <c r="BC49" s="273">
        <f>BC30-BC47</f>
        <v>2245.3970730648725</v>
      </c>
      <c r="BD49" s="273">
        <f>BD30-BD47</f>
        <v>42689.263552701625</v>
      </c>
      <c r="BE49" s="274">
        <f>BE30-BE47</f>
        <v>8103.6359626271296</v>
      </c>
      <c r="BF49" s="601"/>
      <c r="BG49" s="596">
        <f>BG30-BG47</f>
        <v>-32002.912041779491</v>
      </c>
      <c r="BH49" s="273">
        <f>BH30-BH47</f>
        <v>42466.471147061093</v>
      </c>
      <c r="BI49" s="273">
        <f>BI30-BI47</f>
        <v>119318.25357636472</v>
      </c>
      <c r="BJ49" s="274">
        <f>BJ30-BJ47</f>
        <v>129781.81268164632</v>
      </c>
      <c r="BK49" s="601"/>
      <c r="BL49" s="596">
        <f>BL30-BL47</f>
        <v>-2159.7958326032385</v>
      </c>
      <c r="BM49" s="273">
        <f>BM30-BM47</f>
        <v>150083.59430880507</v>
      </c>
      <c r="BN49" s="273">
        <f>BN30-BN47</f>
        <v>307653.64370295254</v>
      </c>
      <c r="BO49" s="274">
        <f>BO30-BO47</f>
        <v>455577.44217915414</v>
      </c>
      <c r="BP49" s="601"/>
      <c r="BQ49" s="272"/>
      <c r="BR49" s="596">
        <f>BR30-BR47</f>
        <v>175172.50739050331</v>
      </c>
      <c r="BS49" s="273">
        <f>BS30-BS47</f>
        <v>496160.07536341134</v>
      </c>
      <c r="BT49" s="273">
        <f>BT30-BT47</f>
        <v>829339.24617552152</v>
      </c>
      <c r="BU49" s="274">
        <f>BU30-BU47</f>
        <v>1500671.8289294355</v>
      </c>
      <c r="BV49" s="601"/>
      <c r="BW49" s="596">
        <f>BW30-BW47</f>
        <v>536005.31465664785</v>
      </c>
      <c r="BX49" s="273">
        <f>BX30-BX47</f>
        <v>1200388.2287254538</v>
      </c>
      <c r="BY49" s="273">
        <f>BY30-BY47</f>
        <v>1891991.8954305272</v>
      </c>
      <c r="BZ49" s="274">
        <f>BZ30-BZ47</f>
        <v>3628385.4388126284</v>
      </c>
      <c r="CA49" s="601"/>
      <c r="CB49" s="596">
        <f>CB30-CB47</f>
        <v>1571165.9104789104</v>
      </c>
      <c r="CC49" s="273">
        <f>CC30-CC47</f>
        <v>3005174.0406944919</v>
      </c>
      <c r="CD49" s="273">
        <f>CD30-CD47</f>
        <v>4502213.9170972798</v>
      </c>
      <c r="CE49" s="274">
        <f>CE30-CE47</f>
        <v>9078553.8682706822</v>
      </c>
      <c r="CF49" s="601"/>
      <c r="CG49" s="596">
        <f>CG30-CG47</f>
        <v>4223051.1235273536</v>
      </c>
      <c r="CH49" s="273">
        <f>CH30-CH47</f>
        <v>7316959.8583246637</v>
      </c>
      <c r="CI49" s="273">
        <f>CI30-CI47</f>
        <v>10556054.134316185</v>
      </c>
      <c r="CJ49" s="267">
        <f>CJ30-CJ47</f>
        <v>22096065.116168201</v>
      </c>
      <c r="CK49" s="271"/>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row>
    <row r="50" spans="1:179" s="57" customFormat="1" ht="9.75" customHeight="1" x14ac:dyDescent="0.15">
      <c r="A50" s="54"/>
      <c r="B50" s="275"/>
      <c r="C50" s="275"/>
      <c r="D50" s="44"/>
      <c r="E50" s="44"/>
      <c r="F50" s="44"/>
      <c r="G50" s="44"/>
      <c r="H50" s="44"/>
      <c r="I50" s="44"/>
      <c r="J50" s="276"/>
      <c r="K50" s="44"/>
      <c r="L50" s="44"/>
      <c r="M50" s="44"/>
      <c r="N50" s="44"/>
      <c r="O50" s="276"/>
      <c r="P50" s="44"/>
      <c r="Q50" s="44"/>
      <c r="R50" s="44"/>
      <c r="S50" s="44"/>
      <c r="T50" s="44"/>
      <c r="U50" s="44"/>
      <c r="V50" s="44"/>
      <c r="W50" s="44"/>
      <c r="X50" s="44"/>
      <c r="Y50" s="276"/>
      <c r="Z50" s="276"/>
      <c r="AA50" s="276"/>
      <c r="AB50" s="54"/>
      <c r="AC50" s="55"/>
      <c r="AD50" s="55"/>
      <c r="AE50" s="55"/>
      <c r="AF50" s="55"/>
      <c r="AG50" s="55"/>
      <c r="AH50" s="55"/>
      <c r="AI50" s="55"/>
      <c r="AJ50" s="55"/>
      <c r="AK50" s="55"/>
      <c r="AL50" s="55"/>
      <c r="AM50" s="55"/>
      <c r="AN50" s="55"/>
      <c r="AO50" s="56"/>
      <c r="AP50" s="56"/>
      <c r="AQ50" s="56"/>
      <c r="AR50" s="56"/>
      <c r="AS50" s="56"/>
      <c r="AT50" s="56"/>
      <c r="AU50" s="56"/>
      <c r="AV50" s="276"/>
      <c r="AW50" s="56"/>
      <c r="AX50" s="56"/>
      <c r="AZ50" s="58"/>
      <c r="BA50" s="58"/>
      <c r="BB50" s="56"/>
      <c r="BC50" s="56"/>
      <c r="BD50" s="56"/>
      <c r="BE50" s="56"/>
      <c r="BF50" s="56"/>
      <c r="BG50" s="56"/>
      <c r="BH50" s="56"/>
      <c r="BI50" s="56"/>
      <c r="BJ50" s="56"/>
      <c r="BK50" s="56"/>
      <c r="BL50" s="56"/>
      <c r="BM50" s="56"/>
      <c r="BN50" s="56"/>
      <c r="BO50" s="56"/>
      <c r="BP50" s="56"/>
      <c r="BQ50" s="276"/>
      <c r="BR50" s="56"/>
      <c r="BS50" s="56"/>
      <c r="BU50" s="58"/>
      <c r="BV50" s="58"/>
      <c r="BW50" s="56"/>
      <c r="BX50" s="56"/>
      <c r="BY50" s="56"/>
      <c r="BZ50" s="56"/>
      <c r="CA50" s="56"/>
      <c r="CB50" s="56"/>
      <c r="CC50" s="56"/>
      <c r="CD50" s="56"/>
      <c r="CE50" s="56"/>
      <c r="CF50" s="56"/>
      <c r="CG50" s="56"/>
      <c r="CH50" s="56"/>
      <c r="CI50" s="56"/>
      <c r="CJ50" s="56"/>
      <c r="CK50" s="56"/>
    </row>
    <row r="51" spans="1:179" s="57" customFormat="1" ht="9.75" customHeight="1" x14ac:dyDescent="0.15">
      <c r="A51" s="277"/>
      <c r="B51" s="278"/>
      <c r="C51" s="278"/>
      <c r="D51" s="44"/>
      <c r="E51" s="44"/>
      <c r="F51" s="44"/>
      <c r="G51" s="44"/>
      <c r="H51" s="44"/>
      <c r="I51" s="44"/>
      <c r="J51" s="53"/>
      <c r="K51" s="44"/>
      <c r="L51" s="44"/>
      <c r="M51" s="44"/>
      <c r="N51" s="44"/>
      <c r="O51" s="53"/>
      <c r="P51" s="44"/>
      <c r="Q51" s="44"/>
      <c r="R51" s="44"/>
      <c r="S51" s="44"/>
      <c r="T51" s="44"/>
      <c r="U51" s="44"/>
      <c r="V51" s="44"/>
      <c r="W51" s="44"/>
      <c r="X51" s="44"/>
      <c r="Y51" s="53"/>
      <c r="Z51" s="53"/>
      <c r="AA51" s="53"/>
      <c r="AB51" s="54"/>
      <c r="AC51" s="55"/>
      <c r="AD51" s="55"/>
      <c r="AE51" s="55"/>
      <c r="AF51" s="55"/>
      <c r="AG51" s="55"/>
      <c r="AH51" s="55"/>
      <c r="AI51" s="55"/>
      <c r="AJ51" s="55"/>
      <c r="AK51" s="55"/>
      <c r="AL51" s="55"/>
      <c r="AM51" s="55"/>
      <c r="AN51" s="55"/>
      <c r="AO51" s="56"/>
      <c r="AP51" s="56"/>
      <c r="AQ51" s="56"/>
      <c r="AR51" s="56"/>
      <c r="AS51" s="56"/>
      <c r="AT51" s="56"/>
      <c r="AU51" s="56"/>
      <c r="AV51" s="53"/>
      <c r="AW51" s="56"/>
      <c r="AX51" s="56"/>
      <c r="AZ51" s="58"/>
      <c r="BA51" s="58"/>
      <c r="BB51" s="56"/>
      <c r="BC51" s="56"/>
      <c r="BD51" s="56"/>
      <c r="BE51" s="56"/>
      <c r="BF51" s="56"/>
      <c r="BG51" s="56"/>
      <c r="BH51" s="56"/>
      <c r="BI51" s="56"/>
      <c r="BJ51" s="56"/>
      <c r="BK51" s="56"/>
      <c r="BL51" s="56"/>
      <c r="BM51" s="56"/>
      <c r="BN51" s="56"/>
      <c r="BO51" s="56"/>
      <c r="BP51" s="56"/>
      <c r="BQ51" s="53"/>
      <c r="BR51" s="56"/>
      <c r="BS51" s="56"/>
      <c r="BU51" s="58"/>
      <c r="BV51" s="58"/>
      <c r="BW51" s="56"/>
      <c r="BX51" s="56"/>
      <c r="BY51" s="56"/>
      <c r="BZ51" s="56"/>
      <c r="CA51" s="56"/>
      <c r="CB51" s="56"/>
      <c r="CC51" s="56"/>
      <c r="CD51" s="56"/>
      <c r="CE51" s="56"/>
      <c r="CF51" s="56"/>
      <c r="CG51" s="56"/>
      <c r="CH51" s="56"/>
      <c r="CI51" s="56"/>
      <c r="CJ51" s="56"/>
      <c r="CK51" s="56"/>
    </row>
    <row r="52" spans="1:179" s="57" customFormat="1" ht="9.75" customHeight="1" x14ac:dyDescent="0.15">
      <c r="A52" s="279"/>
      <c r="B52" s="278"/>
      <c r="C52" s="278"/>
      <c r="D52" s="44"/>
      <c r="E52" s="44"/>
      <c r="F52" s="44"/>
      <c r="G52" s="44"/>
      <c r="H52" s="44"/>
      <c r="I52" s="44"/>
      <c r="J52" s="53"/>
      <c r="K52" s="44"/>
      <c r="L52" s="44"/>
      <c r="M52" s="44"/>
      <c r="N52" s="44"/>
      <c r="O52" s="53"/>
      <c r="P52" s="44"/>
      <c r="Q52" s="44"/>
      <c r="R52" s="44"/>
      <c r="S52" s="44"/>
      <c r="T52" s="44"/>
      <c r="U52" s="44"/>
      <c r="V52" s="44"/>
      <c r="W52" s="44"/>
      <c r="X52" s="44"/>
      <c r="Y52" s="53"/>
      <c r="Z52" s="53"/>
      <c r="AA52" s="53"/>
      <c r="AB52" s="54"/>
      <c r="AC52" s="55"/>
      <c r="AD52" s="55"/>
      <c r="AE52" s="55"/>
      <c r="AF52" s="55"/>
      <c r="AG52" s="55"/>
      <c r="AH52" s="55"/>
      <c r="AI52" s="55"/>
      <c r="AJ52" s="55"/>
      <c r="AK52" s="55"/>
      <c r="AL52" s="55"/>
      <c r="AM52" s="55"/>
      <c r="AN52" s="55"/>
      <c r="AO52" s="56"/>
      <c r="AP52" s="56"/>
      <c r="AQ52" s="56"/>
      <c r="AR52" s="56"/>
      <c r="AS52" s="56"/>
      <c r="AT52" s="56"/>
      <c r="AU52" s="56"/>
      <c r="AV52" s="53"/>
      <c r="AW52" s="56"/>
      <c r="AX52" s="56"/>
      <c r="AZ52" s="58"/>
      <c r="BA52" s="58"/>
      <c r="BB52" s="56"/>
      <c r="BC52" s="56"/>
      <c r="BD52" s="56"/>
      <c r="BE52" s="56"/>
      <c r="BF52" s="56"/>
      <c r="BG52" s="56"/>
      <c r="BH52" s="56"/>
      <c r="BI52" s="56"/>
      <c r="BJ52" s="56"/>
      <c r="BK52" s="56"/>
      <c r="BL52" s="56"/>
      <c r="BM52" s="56"/>
      <c r="BN52" s="56"/>
      <c r="BO52" s="56"/>
      <c r="BP52" s="56"/>
      <c r="BQ52" s="53"/>
      <c r="BR52" s="56"/>
      <c r="BS52" s="56"/>
      <c r="BU52" s="58"/>
      <c r="BV52" s="58"/>
      <c r="BW52" s="56"/>
      <c r="BX52" s="56"/>
      <c r="BY52" s="56"/>
      <c r="BZ52" s="56"/>
      <c r="CA52" s="56"/>
      <c r="CB52" s="56"/>
      <c r="CC52" s="56"/>
      <c r="CD52" s="56"/>
      <c r="CE52" s="56"/>
      <c r="CF52" s="56"/>
      <c r="CG52" s="56"/>
      <c r="CH52" s="56"/>
      <c r="CI52" s="56"/>
      <c r="CJ52" s="56"/>
      <c r="CK52" s="56"/>
    </row>
    <row r="53" spans="1:179" s="57" customFormat="1" ht="9.75" customHeight="1" x14ac:dyDescent="0.15">
      <c r="A53" s="70"/>
      <c r="B53" s="278"/>
      <c r="C53" s="278"/>
      <c r="D53" s="44"/>
      <c r="E53" s="44"/>
      <c r="F53" s="44"/>
      <c r="G53" s="44"/>
      <c r="H53" s="44"/>
      <c r="I53" s="44"/>
      <c r="J53" s="53"/>
      <c r="K53" s="44"/>
      <c r="L53" s="44"/>
      <c r="M53" s="44"/>
      <c r="N53" s="44"/>
      <c r="O53" s="53"/>
      <c r="P53" s="44"/>
      <c r="Q53" s="44"/>
      <c r="R53" s="44"/>
      <c r="S53" s="44"/>
      <c r="T53" s="44"/>
      <c r="U53" s="44"/>
      <c r="V53" s="44"/>
      <c r="W53" s="44"/>
      <c r="X53" s="44"/>
      <c r="Y53" s="53"/>
      <c r="Z53" s="53"/>
      <c r="AA53" s="53"/>
      <c r="AB53" s="54"/>
      <c r="AC53" s="55"/>
      <c r="AD53" s="55"/>
      <c r="AE53" s="55"/>
      <c r="AF53" s="55"/>
      <c r="AG53" s="55"/>
      <c r="AH53" s="55"/>
      <c r="AI53" s="55"/>
      <c r="AJ53" s="55"/>
      <c r="AK53" s="55"/>
      <c r="AL53" s="55"/>
      <c r="AM53" s="55"/>
      <c r="AN53" s="55"/>
      <c r="AO53" s="56"/>
      <c r="AP53" s="56"/>
      <c r="AQ53" s="56"/>
      <c r="AR53" s="56"/>
      <c r="AS53" s="56"/>
      <c r="AT53" s="56"/>
      <c r="AU53" s="56"/>
      <c r="AV53" s="53"/>
      <c r="AW53" s="56"/>
      <c r="AX53" s="56"/>
      <c r="AZ53" s="58"/>
      <c r="BA53" s="58"/>
      <c r="BB53" s="56"/>
      <c r="BC53" s="56"/>
      <c r="BD53" s="56"/>
      <c r="BE53" s="56"/>
      <c r="BF53" s="56"/>
      <c r="BG53" s="56"/>
      <c r="BH53" s="56"/>
      <c r="BI53" s="56"/>
      <c r="BJ53" s="56"/>
      <c r="BK53" s="56"/>
      <c r="BL53" s="56"/>
      <c r="BM53" s="56"/>
      <c r="BN53" s="56"/>
      <c r="BO53" s="56"/>
      <c r="BP53" s="56"/>
      <c r="BQ53" s="53"/>
      <c r="BR53" s="56"/>
      <c r="BS53" s="56"/>
      <c r="BU53" s="58"/>
      <c r="BV53" s="58"/>
      <c r="BW53" s="56"/>
      <c r="BX53" s="56"/>
      <c r="BY53" s="56"/>
      <c r="BZ53" s="56"/>
      <c r="CA53" s="56"/>
      <c r="CB53" s="56"/>
      <c r="CC53" s="56"/>
      <c r="CD53" s="56"/>
      <c r="CE53" s="56"/>
      <c r="CF53" s="56"/>
      <c r="CG53" s="56"/>
      <c r="CH53" s="56"/>
      <c r="CI53" s="56"/>
      <c r="CJ53" s="56"/>
      <c r="CK53" s="56"/>
    </row>
    <row r="54" spans="1:179" s="57" customFormat="1" ht="9.75" customHeight="1" x14ac:dyDescent="0.15">
      <c r="A54" s="277"/>
      <c r="B54" s="280"/>
      <c r="C54" s="280"/>
      <c r="D54" s="44"/>
      <c r="E54" s="44"/>
      <c r="F54" s="44"/>
      <c r="G54" s="44"/>
      <c r="H54" s="44"/>
      <c r="I54" s="44"/>
      <c r="J54" s="53"/>
      <c r="K54" s="44"/>
      <c r="L54" s="44"/>
      <c r="M54" s="44"/>
      <c r="N54" s="44"/>
      <c r="O54" s="53"/>
      <c r="P54" s="44"/>
      <c r="Q54" s="44"/>
      <c r="R54" s="44"/>
      <c r="S54" s="44"/>
      <c r="T54" s="44"/>
      <c r="U54" s="44"/>
      <c r="V54" s="44"/>
      <c r="W54" s="44"/>
      <c r="X54" s="44"/>
      <c r="Y54" s="53"/>
      <c r="Z54" s="53"/>
      <c r="AA54" s="53"/>
      <c r="AB54" s="54"/>
      <c r="AC54" s="55"/>
      <c r="AD54" s="55"/>
      <c r="AE54" s="55"/>
      <c r="AF54" s="55"/>
      <c r="AG54" s="55"/>
      <c r="AH54" s="55"/>
      <c r="AI54" s="55"/>
      <c r="AJ54" s="55"/>
      <c r="AK54" s="55"/>
      <c r="AL54" s="55"/>
      <c r="AM54" s="55"/>
      <c r="AN54" s="55"/>
      <c r="AO54" s="56"/>
      <c r="AP54" s="56"/>
      <c r="AQ54" s="56"/>
      <c r="AR54" s="56"/>
      <c r="AS54" s="56"/>
      <c r="AT54" s="56"/>
      <c r="AU54" s="56"/>
      <c r="AV54" s="53"/>
      <c r="AW54" s="56"/>
      <c r="AX54" s="56"/>
      <c r="AZ54" s="58"/>
      <c r="BA54" s="58"/>
      <c r="BB54" s="56"/>
      <c r="BC54" s="56"/>
      <c r="BD54" s="56"/>
      <c r="BE54" s="56"/>
      <c r="BF54" s="56"/>
      <c r="BG54" s="56"/>
      <c r="BH54" s="56"/>
      <c r="BI54" s="56"/>
      <c r="BJ54" s="56"/>
      <c r="BK54" s="56"/>
      <c r="BL54" s="56"/>
      <c r="BM54" s="56"/>
      <c r="BN54" s="56"/>
      <c r="BO54" s="56"/>
      <c r="BP54" s="56"/>
      <c r="BQ54" s="53"/>
      <c r="BR54" s="56"/>
      <c r="BS54" s="56"/>
      <c r="BU54" s="58"/>
      <c r="BV54" s="58"/>
      <c r="BW54" s="56"/>
      <c r="BX54" s="56"/>
      <c r="BY54" s="56"/>
      <c r="BZ54" s="56"/>
      <c r="CA54" s="56"/>
      <c r="CB54" s="56"/>
      <c r="CC54" s="56"/>
      <c r="CD54" s="56"/>
      <c r="CE54" s="56"/>
      <c r="CF54" s="56"/>
      <c r="CG54" s="56"/>
      <c r="CH54" s="56"/>
      <c r="CI54" s="56"/>
      <c r="CJ54" s="56"/>
      <c r="CK54" s="56"/>
    </row>
    <row r="55" spans="1:179" s="57" customFormat="1" ht="11.25" customHeight="1" x14ac:dyDescent="0.15">
      <c r="A55" s="54"/>
      <c r="B55" s="54"/>
      <c r="C55" s="54"/>
      <c r="D55" s="44"/>
      <c r="E55" s="44"/>
      <c r="F55" s="44"/>
      <c r="G55" s="44"/>
      <c r="H55" s="44"/>
      <c r="I55" s="44"/>
      <c r="J55" s="64" t="s">
        <v>40</v>
      </c>
      <c r="K55" s="44"/>
      <c r="L55" s="44"/>
      <c r="M55" s="44"/>
      <c r="N55" s="44"/>
      <c r="O55" s="65"/>
      <c r="P55" s="44"/>
      <c r="Q55" s="44"/>
      <c r="R55" s="44"/>
      <c r="S55" s="44"/>
      <c r="T55" s="44"/>
      <c r="U55" s="44"/>
      <c r="V55" s="44"/>
      <c r="W55" s="44"/>
      <c r="X55" s="44"/>
      <c r="Y55" s="65"/>
      <c r="Z55" s="65"/>
      <c r="AA55" s="65"/>
      <c r="AB55" s="55"/>
      <c r="AC55" s="55"/>
      <c r="AD55" s="55"/>
      <c r="AE55" s="55"/>
      <c r="AF55" s="55"/>
      <c r="AG55" s="55"/>
      <c r="AH55" s="55"/>
      <c r="AI55" s="55"/>
      <c r="AJ55" s="55"/>
      <c r="AK55" s="55"/>
      <c r="AL55" s="55"/>
      <c r="AM55" s="55"/>
      <c r="AN55" s="55"/>
      <c r="AV55" s="65"/>
      <c r="AZ55" s="66"/>
      <c r="BA55" s="66"/>
      <c r="BQ55" s="65"/>
      <c r="BU55" s="66"/>
      <c r="BV55" s="66"/>
    </row>
    <row r="56" spans="1:179" s="57" customFormat="1" ht="11.25" customHeight="1" x14ac:dyDescent="0.15">
      <c r="A56" s="54"/>
      <c r="B56" s="54"/>
      <c r="C56" s="54"/>
      <c r="D56" s="44"/>
      <c r="E56" s="44"/>
      <c r="F56" s="44"/>
      <c r="G56" s="44"/>
      <c r="H56" s="44"/>
      <c r="I56" s="44"/>
      <c r="J56" s="64" t="s">
        <v>40</v>
      </c>
      <c r="K56" s="44"/>
      <c r="L56" s="44"/>
      <c r="M56" s="44"/>
      <c r="N56" s="44"/>
      <c r="O56" s="65"/>
      <c r="P56" s="44"/>
      <c r="Q56" s="44"/>
      <c r="R56" s="44"/>
      <c r="S56" s="44"/>
      <c r="T56" s="44"/>
      <c r="U56" s="44"/>
      <c r="V56" s="44"/>
      <c r="W56" s="44"/>
      <c r="X56" s="44"/>
      <c r="Y56" s="65"/>
      <c r="Z56" s="65"/>
      <c r="AA56" s="65"/>
      <c r="AB56" s="69"/>
      <c r="AC56" s="55"/>
      <c r="AD56" s="55"/>
      <c r="AE56" s="70"/>
      <c r="AF56" s="70"/>
      <c r="AG56" s="54"/>
      <c r="AH56" s="54"/>
      <c r="AI56" s="54"/>
      <c r="AJ56" s="54"/>
      <c r="AK56" s="54"/>
      <c r="AL56" s="54"/>
      <c r="AM56" s="54"/>
      <c r="AN56" s="54"/>
      <c r="AO56" s="56"/>
      <c r="AP56" s="56"/>
      <c r="AQ56" s="56"/>
      <c r="AR56" s="56"/>
      <c r="AS56" s="56"/>
      <c r="AT56" s="56"/>
      <c r="AU56" s="56"/>
      <c r="AV56" s="65"/>
      <c r="AW56" s="56"/>
      <c r="AX56" s="56"/>
      <c r="AZ56" s="58"/>
      <c r="BA56" s="58"/>
      <c r="BB56" s="56"/>
      <c r="BC56" s="56"/>
      <c r="BD56" s="56"/>
      <c r="BE56" s="56"/>
      <c r="BF56" s="56"/>
      <c r="BG56" s="56"/>
      <c r="BH56" s="56"/>
      <c r="BI56" s="56"/>
      <c r="BJ56" s="56"/>
      <c r="BK56" s="56"/>
      <c r="BL56" s="56"/>
      <c r="BM56" s="56"/>
      <c r="BN56" s="56"/>
      <c r="BO56" s="56"/>
      <c r="BP56" s="56"/>
      <c r="BQ56" s="65"/>
      <c r="BR56" s="56"/>
      <c r="BS56" s="56"/>
      <c r="BU56" s="58"/>
      <c r="BV56" s="58"/>
      <c r="BW56" s="56"/>
      <c r="BX56" s="56"/>
      <c r="BY56" s="56"/>
      <c r="BZ56" s="56"/>
      <c r="CA56" s="56"/>
      <c r="CB56" s="56"/>
      <c r="CC56" s="56"/>
      <c r="CD56" s="56"/>
      <c r="CE56" s="56"/>
      <c r="CF56" s="56"/>
      <c r="CG56" s="56"/>
      <c r="CH56" s="56"/>
      <c r="CI56" s="56"/>
      <c r="CJ56" s="56"/>
      <c r="CK56" s="56"/>
    </row>
    <row r="57" spans="1:179" s="57" customFormat="1" ht="11.25" customHeight="1" x14ac:dyDescent="0.2">
      <c r="A57" s="54"/>
      <c r="B57" s="54"/>
      <c r="C57" s="54"/>
      <c r="D57" s="87"/>
      <c r="E57" s="87"/>
      <c r="F57" s="39"/>
      <c r="G57" s="88"/>
      <c r="H57" s="39"/>
      <c r="I57" s="87"/>
      <c r="J57" s="64" t="s">
        <v>40</v>
      </c>
      <c r="K57" s="87"/>
      <c r="L57" s="39"/>
      <c r="M57" s="87"/>
      <c r="N57" s="39"/>
      <c r="O57" s="72"/>
      <c r="P57" s="39"/>
      <c r="Q57" s="41"/>
      <c r="R57" s="41"/>
      <c r="S57" s="41"/>
      <c r="T57" s="41"/>
      <c r="U57" s="41"/>
      <c r="V57" s="41"/>
      <c r="W57" s="41"/>
      <c r="X57" s="41"/>
      <c r="Y57" s="72"/>
      <c r="Z57" s="72"/>
      <c r="AA57" s="72"/>
      <c r="AB57" s="55"/>
      <c r="AC57" s="55"/>
      <c r="AD57" s="55"/>
      <c r="AE57" s="73"/>
      <c r="AF57" s="73"/>
      <c r="AG57" s="55"/>
      <c r="AH57" s="55"/>
      <c r="AI57" s="55"/>
      <c r="AJ57" s="55"/>
      <c r="AK57" s="55"/>
      <c r="AL57" s="55"/>
      <c r="AM57" s="55"/>
      <c r="AN57" s="55"/>
      <c r="AV57" s="72"/>
      <c r="AZ57" s="74"/>
      <c r="BA57" s="74"/>
      <c r="BQ57" s="72"/>
      <c r="BU57" s="74"/>
      <c r="BV57" s="74"/>
    </row>
    <row r="58" spans="1:179" s="57" customFormat="1" ht="11.25" customHeight="1" x14ac:dyDescent="0.15">
      <c r="A58" s="54"/>
      <c r="B58" s="54"/>
      <c r="C58" s="54"/>
      <c r="D58" s="44"/>
      <c r="E58" s="44"/>
      <c r="F58" s="44"/>
      <c r="G58" s="44"/>
      <c r="H58" s="44"/>
      <c r="I58" s="44"/>
      <c r="J58" s="64"/>
      <c r="K58" s="44"/>
      <c r="L58" s="44"/>
      <c r="M58" s="44"/>
      <c r="N58" s="44"/>
      <c r="O58" s="72"/>
      <c r="P58" s="44"/>
      <c r="Q58" s="44"/>
      <c r="R58" s="44"/>
      <c r="S58" s="44"/>
      <c r="T58" s="44"/>
      <c r="U58" s="44"/>
      <c r="V58" s="44"/>
      <c r="W58" s="44"/>
      <c r="X58" s="44"/>
      <c r="Y58" s="72"/>
      <c r="Z58" s="72"/>
      <c r="AA58" s="72"/>
      <c r="AB58" s="55"/>
      <c r="AC58" s="55"/>
      <c r="AD58" s="55"/>
      <c r="AE58" s="73"/>
      <c r="AF58" s="73"/>
      <c r="AG58" s="55"/>
      <c r="AH58" s="55"/>
      <c r="AI58" s="55"/>
      <c r="AJ58" s="55"/>
      <c r="AK58" s="55"/>
      <c r="AL58" s="55"/>
      <c r="AM58" s="55"/>
      <c r="AN58" s="55"/>
      <c r="AV58" s="72"/>
      <c r="AZ58" s="74"/>
      <c r="BA58" s="74"/>
      <c r="BQ58" s="72"/>
      <c r="BU58" s="74"/>
      <c r="BV58" s="74"/>
    </row>
    <row r="59" spans="1:179" s="57" customFormat="1" ht="11.25" customHeight="1" x14ac:dyDescent="0.15">
      <c r="A59" s="86"/>
      <c r="B59" s="54"/>
      <c r="C59" s="54"/>
      <c r="D59" s="44"/>
      <c r="E59" s="44"/>
      <c r="F59" s="44"/>
      <c r="G59" s="44"/>
      <c r="H59" s="44"/>
      <c r="I59" s="44"/>
      <c r="J59" s="64"/>
      <c r="K59" s="44"/>
      <c r="L59" s="44"/>
      <c r="M59" s="44"/>
      <c r="N59" s="44"/>
      <c r="O59" s="65"/>
      <c r="P59" s="44"/>
      <c r="Q59" s="44"/>
      <c r="R59" s="44"/>
      <c r="S59" s="44"/>
      <c r="T59" s="44"/>
      <c r="U59" s="44"/>
      <c r="V59" s="44"/>
      <c r="W59" s="44"/>
      <c r="X59" s="44"/>
      <c r="Y59" s="65"/>
      <c r="Z59" s="65"/>
      <c r="AA59" s="65"/>
      <c r="AB59" s="55"/>
      <c r="AC59" s="55"/>
      <c r="AD59" s="55"/>
      <c r="AE59" s="55"/>
      <c r="AF59" s="55"/>
      <c r="AG59" s="55"/>
      <c r="AH59" s="55"/>
      <c r="AI59" s="55"/>
      <c r="AJ59" s="55"/>
      <c r="AK59" s="55"/>
      <c r="AL59" s="55"/>
      <c r="AM59" s="55"/>
      <c r="AN59" s="55"/>
      <c r="AV59" s="65"/>
      <c r="AZ59" s="66"/>
      <c r="BA59" s="66"/>
      <c r="BQ59" s="65"/>
      <c r="BU59" s="66"/>
      <c r="BV59" s="66"/>
    </row>
    <row r="60" spans="1:179" s="57" customFormat="1" ht="11.25" customHeight="1" x14ac:dyDescent="0.15">
      <c r="A60" s="54"/>
      <c r="B60" s="281"/>
      <c r="C60" s="54"/>
      <c r="D60" s="44"/>
      <c r="E60" s="44"/>
      <c r="F60" s="44"/>
      <c r="G60" s="44"/>
      <c r="H60" s="44"/>
      <c r="I60" s="44"/>
      <c r="J60" s="64"/>
      <c r="K60" s="44"/>
      <c r="L60" s="44"/>
      <c r="M60" s="44"/>
      <c r="N60" s="44"/>
      <c r="O60" s="65"/>
      <c r="P60" s="44"/>
      <c r="Q60" s="44"/>
      <c r="R60" s="44"/>
      <c r="S60" s="44"/>
      <c r="T60" s="44"/>
      <c r="U60" s="44"/>
      <c r="V60" s="44"/>
      <c r="W60" s="44"/>
      <c r="X60" s="44"/>
      <c r="Y60" s="65"/>
      <c r="Z60" s="65"/>
      <c r="AA60" s="65"/>
      <c r="AB60" s="55"/>
      <c r="AC60" s="55"/>
      <c r="AD60" s="55"/>
      <c r="AE60" s="55"/>
      <c r="AF60" s="55"/>
      <c r="AG60" s="55"/>
      <c r="AH60" s="55"/>
      <c r="AI60" s="55"/>
      <c r="AJ60" s="55"/>
      <c r="AK60" s="55"/>
      <c r="AL60" s="55"/>
      <c r="AM60" s="55"/>
      <c r="AN60" s="55"/>
      <c r="AV60" s="65"/>
      <c r="AZ60" s="66"/>
      <c r="BA60" s="66"/>
      <c r="BQ60" s="65"/>
      <c r="BU60" s="66"/>
      <c r="BV60" s="66"/>
    </row>
    <row r="61" spans="1:179" s="57" customFormat="1" ht="11.25" customHeight="1" x14ac:dyDescent="0.15">
      <c r="A61" s="54"/>
      <c r="B61" s="281"/>
      <c r="C61" s="54"/>
      <c r="D61" s="44"/>
      <c r="E61" s="44"/>
      <c r="F61" s="44"/>
      <c r="G61" s="44"/>
      <c r="H61" s="44"/>
      <c r="I61" s="44"/>
      <c r="J61" s="64"/>
      <c r="K61" s="44"/>
      <c r="L61" s="44"/>
      <c r="M61" s="44"/>
      <c r="N61" s="44"/>
      <c r="O61" s="65"/>
      <c r="P61" s="44"/>
      <c r="Q61" s="44"/>
      <c r="R61" s="44"/>
      <c r="S61" s="44"/>
      <c r="T61" s="44"/>
      <c r="U61" s="44"/>
      <c r="V61" s="44"/>
      <c r="W61" s="44"/>
      <c r="X61" s="44"/>
      <c r="Y61" s="65"/>
      <c r="Z61" s="65"/>
      <c r="AA61" s="65"/>
      <c r="AB61" s="55"/>
      <c r="AC61" s="55"/>
      <c r="AD61" s="55"/>
      <c r="AE61" s="55"/>
      <c r="AF61" s="55"/>
      <c r="AG61" s="55"/>
      <c r="AH61" s="55"/>
      <c r="AI61" s="55"/>
      <c r="AJ61" s="55"/>
      <c r="AK61" s="55"/>
      <c r="AL61" s="55"/>
      <c r="AM61" s="55"/>
      <c r="AN61" s="55"/>
      <c r="AV61" s="65"/>
      <c r="AZ61" s="66"/>
      <c r="BA61" s="66"/>
      <c r="BQ61" s="65"/>
      <c r="BU61" s="66"/>
      <c r="BV61" s="66"/>
    </row>
    <row r="62" spans="1:179" s="57" customFormat="1" ht="11.25" customHeight="1" x14ac:dyDescent="0.15">
      <c r="A62" s="54"/>
      <c r="B62" s="54"/>
      <c r="C62" s="54"/>
      <c r="D62" s="44"/>
      <c r="E62" s="44"/>
      <c r="F62" s="44"/>
      <c r="G62" s="44"/>
      <c r="H62" s="44"/>
      <c r="I62" s="44"/>
      <c r="J62" s="64" t="s">
        <v>40</v>
      </c>
      <c r="K62" s="44"/>
      <c r="L62" s="44"/>
      <c r="M62" s="44"/>
      <c r="N62" s="44"/>
      <c r="O62" s="65"/>
      <c r="P62" s="44"/>
      <c r="Q62" s="44"/>
      <c r="R62" s="44"/>
      <c r="S62" s="44"/>
      <c r="T62" s="44"/>
      <c r="U62" s="44"/>
      <c r="V62" s="44"/>
      <c r="W62" s="44"/>
      <c r="X62" s="44"/>
      <c r="Y62" s="65"/>
      <c r="Z62" s="65"/>
      <c r="AA62" s="65"/>
      <c r="AB62" s="55"/>
      <c r="AC62" s="55"/>
      <c r="AD62" s="73"/>
      <c r="AE62" s="55"/>
      <c r="AF62" s="55"/>
      <c r="AG62" s="55"/>
      <c r="AH62" s="55"/>
      <c r="AI62" s="55"/>
      <c r="AJ62" s="55"/>
      <c r="AK62" s="55"/>
      <c r="AL62" s="55"/>
      <c r="AM62" s="55"/>
      <c r="AN62" s="55"/>
      <c r="AV62" s="65"/>
      <c r="AY62" s="74"/>
      <c r="BQ62" s="65"/>
      <c r="BT62" s="74"/>
    </row>
    <row r="63" spans="1:179" s="57" customFormat="1" ht="11.25" customHeight="1" x14ac:dyDescent="0.15">
      <c r="A63" s="54"/>
      <c r="B63" s="54"/>
      <c r="C63" s="54"/>
      <c r="D63" s="44"/>
      <c r="E63" s="44"/>
      <c r="F63" s="44"/>
      <c r="G63" s="44"/>
      <c r="H63" s="44"/>
      <c r="I63" s="44"/>
      <c r="J63" s="78" t="s">
        <v>40</v>
      </c>
      <c r="K63" s="44"/>
      <c r="L63" s="44"/>
      <c r="M63" s="44"/>
      <c r="N63" s="44"/>
      <c r="O63" s="53"/>
      <c r="P63" s="44"/>
      <c r="Q63" s="44"/>
      <c r="R63" s="44"/>
      <c r="S63" s="44"/>
      <c r="T63" s="44"/>
      <c r="U63" s="44"/>
      <c r="V63" s="44"/>
      <c r="W63" s="44"/>
      <c r="X63" s="44"/>
      <c r="Y63" s="53"/>
      <c r="Z63" s="53"/>
      <c r="AA63" s="53"/>
      <c r="AB63" s="54"/>
      <c r="AC63" s="55"/>
      <c r="AD63" s="55"/>
      <c r="AE63" s="55"/>
      <c r="AF63" s="79"/>
      <c r="AG63" s="55"/>
      <c r="AH63" s="55"/>
      <c r="AI63" s="55"/>
      <c r="AJ63" s="55"/>
      <c r="AK63" s="55"/>
      <c r="AL63" s="55"/>
      <c r="AM63" s="55"/>
      <c r="AN63" s="55"/>
      <c r="AO63" s="56"/>
      <c r="AP63" s="56"/>
      <c r="AQ63" s="56"/>
      <c r="AR63" s="56"/>
      <c r="AS63" s="56"/>
      <c r="AT63" s="56"/>
      <c r="AU63" s="56"/>
      <c r="AV63" s="53"/>
      <c r="AW63" s="56"/>
      <c r="AX63" s="56"/>
      <c r="AZ63" s="58"/>
      <c r="BA63" s="58"/>
      <c r="BB63" s="56"/>
      <c r="BC63" s="56"/>
      <c r="BD63" s="56"/>
      <c r="BE63" s="56"/>
      <c r="BF63" s="56"/>
      <c r="BG63" s="56"/>
      <c r="BH63" s="56"/>
      <c r="BI63" s="56"/>
      <c r="BJ63" s="56"/>
      <c r="BK63" s="56"/>
      <c r="BL63" s="56"/>
      <c r="BM63" s="56"/>
      <c r="BN63" s="56"/>
      <c r="BO63" s="56"/>
      <c r="BP63" s="56"/>
      <c r="BQ63" s="53"/>
      <c r="BR63" s="56"/>
      <c r="BS63" s="56"/>
      <c r="BU63" s="58"/>
      <c r="BV63" s="58"/>
      <c r="BW63" s="56"/>
      <c r="BX63" s="56"/>
      <c r="BY63" s="56"/>
      <c r="BZ63" s="56"/>
      <c r="CA63" s="56"/>
      <c r="CB63" s="56"/>
      <c r="CC63" s="56"/>
      <c r="CD63" s="56"/>
      <c r="CE63" s="56"/>
      <c r="CF63" s="56"/>
      <c r="CG63" s="56"/>
      <c r="CH63" s="56"/>
      <c r="CI63" s="56"/>
      <c r="CJ63" s="56"/>
      <c r="CK63" s="56"/>
    </row>
    <row r="64" spans="1:179" s="57" customFormat="1" ht="11.25" customHeight="1" x14ac:dyDescent="0.15">
      <c r="A64" s="54"/>
      <c r="B64" s="281"/>
      <c r="C64" s="54"/>
      <c r="D64" s="44"/>
      <c r="E64" s="44"/>
      <c r="F64" s="44"/>
      <c r="G64" s="44"/>
      <c r="H64" s="44"/>
      <c r="I64" s="44"/>
      <c r="J64" s="78"/>
      <c r="K64" s="44"/>
      <c r="L64" s="44"/>
      <c r="M64" s="44"/>
      <c r="N64" s="44"/>
      <c r="O64" s="53"/>
      <c r="P64" s="44"/>
      <c r="Q64" s="44"/>
      <c r="R64" s="44"/>
      <c r="S64" s="44"/>
      <c r="T64" s="44"/>
      <c r="U64" s="44"/>
      <c r="V64" s="44"/>
      <c r="W64" s="44"/>
      <c r="X64" s="44"/>
      <c r="Y64" s="53"/>
      <c r="Z64" s="53"/>
      <c r="AA64" s="53"/>
      <c r="AB64" s="54"/>
      <c r="AC64" s="55"/>
      <c r="AD64" s="55"/>
      <c r="AE64" s="55"/>
      <c r="AF64" s="79"/>
      <c r="AG64" s="55"/>
      <c r="AH64" s="55"/>
      <c r="AI64" s="55"/>
      <c r="AJ64" s="55"/>
      <c r="AK64" s="55"/>
      <c r="AL64" s="55"/>
      <c r="AM64" s="55"/>
      <c r="AN64" s="55"/>
      <c r="AO64" s="56"/>
      <c r="AP64" s="56"/>
      <c r="AQ64" s="56"/>
      <c r="AR64" s="56"/>
      <c r="AS64" s="56"/>
      <c r="AT64" s="56"/>
      <c r="AU64" s="56"/>
      <c r="AV64" s="53"/>
      <c r="AW64" s="56"/>
      <c r="AX64" s="56"/>
      <c r="AZ64" s="58"/>
      <c r="BA64" s="58"/>
      <c r="BB64" s="56"/>
      <c r="BC64" s="56"/>
      <c r="BD64" s="56"/>
      <c r="BE64" s="56"/>
      <c r="BF64" s="56"/>
      <c r="BG64" s="56"/>
      <c r="BH64" s="56"/>
      <c r="BI64" s="56"/>
      <c r="BJ64" s="56"/>
      <c r="BK64" s="56"/>
      <c r="BL64" s="56"/>
      <c r="BM64" s="56"/>
      <c r="BN64" s="56"/>
      <c r="BO64" s="56"/>
      <c r="BP64" s="56"/>
      <c r="BQ64" s="53"/>
      <c r="BR64" s="56"/>
      <c r="BS64" s="56"/>
      <c r="BU64" s="58"/>
      <c r="BV64" s="58"/>
      <c r="BW64" s="56"/>
      <c r="BX64" s="56"/>
      <c r="BY64" s="56"/>
      <c r="BZ64" s="56"/>
      <c r="CA64" s="56"/>
      <c r="CB64" s="56"/>
      <c r="CC64" s="56"/>
      <c r="CD64" s="56"/>
      <c r="CE64" s="56"/>
      <c r="CF64" s="56"/>
      <c r="CG64" s="56"/>
      <c r="CH64" s="56"/>
      <c r="CI64" s="56"/>
      <c r="CJ64" s="56"/>
      <c r="CK64" s="56"/>
    </row>
    <row r="65" spans="1:89" x14ac:dyDescent="0.2">
      <c r="A65" s="54"/>
      <c r="B65" s="54"/>
      <c r="C65" s="54"/>
      <c r="J65" s="80" t="s">
        <v>40</v>
      </c>
      <c r="O65" s="81"/>
      <c r="Y65" s="81"/>
      <c r="Z65" s="81"/>
      <c r="AA65" s="81"/>
      <c r="AB65" s="82"/>
      <c r="AC65" s="83"/>
      <c r="AD65" s="83"/>
      <c r="AE65" s="83"/>
      <c r="AF65" s="83"/>
      <c r="AG65" s="83"/>
      <c r="AH65" s="83"/>
      <c r="AI65" s="83"/>
      <c r="AJ65" s="83"/>
      <c r="AK65" s="83"/>
      <c r="AL65" s="83"/>
      <c r="AM65" s="83"/>
      <c r="AN65" s="83"/>
      <c r="AV65" s="81"/>
      <c r="BQ65" s="81"/>
    </row>
    <row r="66" spans="1:89" s="57" customFormat="1" ht="11.25" customHeight="1" x14ac:dyDescent="0.15">
      <c r="A66" s="54"/>
      <c r="B66" s="54"/>
      <c r="C66" s="54"/>
      <c r="D66" s="44"/>
      <c r="E66" s="44"/>
      <c r="F66" s="44"/>
      <c r="G66" s="44"/>
      <c r="H66" s="44"/>
      <c r="I66" s="44"/>
      <c r="J66" s="64" t="s">
        <v>40</v>
      </c>
      <c r="K66" s="44"/>
      <c r="L66" s="44"/>
      <c r="M66" s="44"/>
      <c r="N66" s="44"/>
      <c r="O66" s="65"/>
      <c r="P66" s="44"/>
      <c r="Q66" s="44"/>
      <c r="R66" s="44"/>
      <c r="S66" s="44"/>
      <c r="T66" s="44"/>
      <c r="U66" s="44"/>
      <c r="V66" s="44"/>
      <c r="W66" s="44"/>
      <c r="X66" s="44"/>
      <c r="Y66" s="65"/>
      <c r="Z66" s="65"/>
      <c r="AA66" s="65"/>
      <c r="AB66" s="55"/>
      <c r="AC66" s="55"/>
      <c r="AD66" s="55"/>
      <c r="AE66" s="55"/>
      <c r="AF66" s="55"/>
      <c r="AG66" s="55"/>
      <c r="AH66" s="55"/>
      <c r="AI66" s="55"/>
      <c r="AJ66" s="55"/>
      <c r="AK66" s="55"/>
      <c r="AL66" s="55"/>
      <c r="AM66" s="55"/>
      <c r="AN66" s="55"/>
      <c r="AV66" s="65"/>
      <c r="AY66" s="74"/>
      <c r="BQ66" s="65"/>
      <c r="BT66" s="74"/>
    </row>
    <row r="67" spans="1:89" s="57" customFormat="1" ht="11.25" customHeight="1" x14ac:dyDescent="0.15">
      <c r="A67" s="54"/>
      <c r="B67" s="54"/>
      <c r="C67" s="54"/>
      <c r="D67" s="44"/>
      <c r="E67" s="44"/>
      <c r="F67" s="44"/>
      <c r="G67" s="44"/>
      <c r="H67" s="44"/>
      <c r="I67" s="44"/>
      <c r="J67" s="64" t="s">
        <v>40</v>
      </c>
      <c r="K67" s="44"/>
      <c r="L67" s="44"/>
      <c r="M67" s="44"/>
      <c r="N67" s="44"/>
      <c r="O67" s="65"/>
      <c r="P67" s="44"/>
      <c r="Q67" s="44"/>
      <c r="R67" s="44"/>
      <c r="S67" s="44"/>
      <c r="T67" s="44"/>
      <c r="U67" s="44"/>
      <c r="V67" s="44"/>
      <c r="W67" s="44"/>
      <c r="X67" s="44"/>
      <c r="Y67" s="65"/>
      <c r="Z67" s="65"/>
      <c r="AA67" s="65"/>
      <c r="AB67" s="55"/>
      <c r="AC67" s="55"/>
      <c r="AD67" s="55"/>
      <c r="AE67" s="55"/>
      <c r="AF67" s="55"/>
      <c r="AG67" s="55"/>
      <c r="AH67" s="55"/>
      <c r="AI67" s="55"/>
      <c r="AJ67" s="55"/>
      <c r="AK67" s="55"/>
      <c r="AL67" s="55"/>
      <c r="AM67" s="55"/>
      <c r="AN67" s="55"/>
      <c r="AV67" s="65"/>
      <c r="BQ67" s="65"/>
    </row>
    <row r="68" spans="1:89" s="57" customFormat="1" ht="11.25" customHeight="1" x14ac:dyDescent="0.15">
      <c r="A68" s="54"/>
      <c r="B68" s="281"/>
      <c r="C68" s="54"/>
      <c r="D68" s="44"/>
      <c r="E68" s="44"/>
      <c r="F68" s="44"/>
      <c r="G68" s="44"/>
      <c r="H68" s="44"/>
      <c r="I68" s="44"/>
      <c r="J68" s="64"/>
      <c r="K68" s="44"/>
      <c r="L68" s="44"/>
      <c r="M68" s="44"/>
      <c r="N68" s="44"/>
      <c r="O68" s="65"/>
      <c r="P68" s="44"/>
      <c r="Q68" s="44"/>
      <c r="R68" s="44"/>
      <c r="S68" s="44"/>
      <c r="T68" s="44"/>
      <c r="U68" s="44"/>
      <c r="V68" s="44"/>
      <c r="W68" s="44"/>
      <c r="X68" s="44"/>
      <c r="Y68" s="65"/>
      <c r="Z68" s="65"/>
      <c r="AA68" s="65"/>
      <c r="AB68" s="55"/>
      <c r="AC68" s="55"/>
      <c r="AD68" s="55"/>
      <c r="AE68" s="55"/>
      <c r="AF68" s="55"/>
      <c r="AG68" s="55"/>
      <c r="AH68" s="55"/>
      <c r="AI68" s="55"/>
      <c r="AJ68" s="55"/>
      <c r="AK68" s="55"/>
      <c r="AL68" s="55"/>
      <c r="AM68" s="55"/>
      <c r="AN68" s="55"/>
      <c r="AV68" s="65"/>
      <c r="BQ68" s="65"/>
    </row>
    <row r="69" spans="1:89" s="57" customFormat="1" ht="11.25" customHeight="1" x14ac:dyDescent="0.15">
      <c r="A69" s="54"/>
      <c r="B69" s="54"/>
      <c r="C69" s="54"/>
      <c r="D69" s="44"/>
      <c r="E69" s="44"/>
      <c r="F69" s="44"/>
      <c r="G69" s="44"/>
      <c r="H69" s="44"/>
      <c r="I69" s="44"/>
      <c r="J69" s="78"/>
      <c r="K69" s="44"/>
      <c r="L69" s="44"/>
      <c r="M69" s="44"/>
      <c r="N69" s="44"/>
      <c r="O69" s="53"/>
      <c r="P69" s="44"/>
      <c r="Q69" s="44"/>
      <c r="R69" s="44"/>
      <c r="S69" s="44"/>
      <c r="T69" s="44"/>
      <c r="U69" s="44"/>
      <c r="V69" s="44"/>
      <c r="W69" s="44"/>
      <c r="X69" s="44"/>
      <c r="Y69" s="53"/>
      <c r="Z69" s="53"/>
      <c r="AA69" s="53"/>
      <c r="AB69" s="54"/>
      <c r="AC69" s="55"/>
      <c r="AD69" s="55"/>
      <c r="AE69" s="55"/>
      <c r="AF69" s="79"/>
      <c r="AG69" s="55"/>
      <c r="AH69" s="55"/>
      <c r="AI69" s="55"/>
      <c r="AJ69" s="55"/>
      <c r="AK69" s="55"/>
      <c r="AL69" s="55"/>
      <c r="AM69" s="55"/>
      <c r="AN69" s="55"/>
      <c r="AO69" s="56"/>
      <c r="AP69" s="56"/>
      <c r="AQ69" s="56"/>
      <c r="AR69" s="56"/>
      <c r="AS69" s="56"/>
      <c r="AT69" s="56"/>
      <c r="AU69" s="56"/>
      <c r="AV69" s="53"/>
      <c r="AW69" s="56"/>
      <c r="AX69" s="56"/>
      <c r="AZ69" s="58"/>
      <c r="BA69" s="58"/>
      <c r="BB69" s="56"/>
      <c r="BC69" s="56"/>
      <c r="BD69" s="56"/>
      <c r="BE69" s="56"/>
      <c r="BF69" s="56"/>
      <c r="BG69" s="56"/>
      <c r="BH69" s="56"/>
      <c r="BI69" s="56"/>
      <c r="BJ69" s="56"/>
      <c r="BK69" s="56"/>
      <c r="BL69" s="56"/>
      <c r="BM69" s="56"/>
      <c r="BN69" s="56"/>
      <c r="BO69" s="56"/>
      <c r="BP69" s="56"/>
      <c r="BQ69" s="53"/>
      <c r="BR69" s="56"/>
      <c r="BS69" s="56"/>
      <c r="BU69" s="58"/>
      <c r="BV69" s="58"/>
      <c r="BW69" s="56"/>
      <c r="BX69" s="56"/>
      <c r="BY69" s="56"/>
      <c r="BZ69" s="56"/>
      <c r="CA69" s="56"/>
      <c r="CB69" s="56"/>
      <c r="CC69" s="56"/>
      <c r="CD69" s="56"/>
      <c r="CE69" s="56"/>
      <c r="CF69" s="56"/>
      <c r="CG69" s="56"/>
      <c r="CH69" s="56"/>
      <c r="CI69" s="56"/>
      <c r="CJ69" s="56"/>
      <c r="CK69" s="56"/>
    </row>
    <row r="70" spans="1:89" s="57" customFormat="1" ht="11.25" customHeight="1" x14ac:dyDescent="0.15">
      <c r="A70" s="86"/>
      <c r="B70" s="54"/>
      <c r="C70" s="54"/>
      <c r="D70" s="44"/>
      <c r="E70" s="44"/>
      <c r="F70" s="44"/>
      <c r="G70" s="44"/>
      <c r="H70" s="44"/>
      <c r="I70" s="44"/>
      <c r="J70" s="78"/>
      <c r="K70" s="44"/>
      <c r="L70" s="44"/>
      <c r="M70" s="44"/>
      <c r="N70" s="44"/>
      <c r="O70" s="53"/>
      <c r="P70" s="44"/>
      <c r="Q70" s="44"/>
      <c r="R70" s="44"/>
      <c r="S70" s="44"/>
      <c r="T70" s="44"/>
      <c r="U70" s="44"/>
      <c r="V70" s="44"/>
      <c r="W70" s="44"/>
      <c r="X70" s="44"/>
      <c r="Y70" s="53"/>
      <c r="Z70" s="53"/>
      <c r="AA70" s="53"/>
      <c r="AB70" s="54"/>
      <c r="AC70" s="55"/>
      <c r="AD70" s="55"/>
      <c r="AE70" s="55"/>
      <c r="AF70" s="79"/>
      <c r="AG70" s="55"/>
      <c r="AH70" s="55"/>
      <c r="AI70" s="55"/>
      <c r="AJ70" s="55"/>
      <c r="AK70" s="55"/>
      <c r="AL70" s="55"/>
      <c r="AM70" s="55"/>
      <c r="AN70" s="55"/>
      <c r="AO70" s="56"/>
      <c r="AP70" s="56"/>
      <c r="AQ70" s="56"/>
      <c r="AR70" s="56"/>
      <c r="AS70" s="56"/>
      <c r="AT70" s="56"/>
      <c r="AU70" s="56"/>
      <c r="AV70" s="53"/>
      <c r="AW70" s="56"/>
      <c r="AX70" s="56"/>
      <c r="AZ70" s="58"/>
      <c r="BA70" s="58"/>
      <c r="BB70" s="56"/>
      <c r="BC70" s="56"/>
      <c r="BD70" s="56"/>
      <c r="BE70" s="56"/>
      <c r="BF70" s="56"/>
      <c r="BG70" s="56"/>
      <c r="BH70" s="56"/>
      <c r="BI70" s="56"/>
      <c r="BJ70" s="56"/>
      <c r="BK70" s="56"/>
      <c r="BL70" s="56"/>
      <c r="BM70" s="56"/>
      <c r="BN70" s="56"/>
      <c r="BO70" s="56"/>
      <c r="BP70" s="56"/>
      <c r="BQ70" s="53"/>
      <c r="BR70" s="56"/>
      <c r="BS70" s="56"/>
      <c r="BU70" s="58"/>
      <c r="BV70" s="58"/>
      <c r="BW70" s="56"/>
      <c r="BX70" s="56"/>
      <c r="BY70" s="56"/>
      <c r="BZ70" s="56"/>
      <c r="CA70" s="56"/>
      <c r="CB70" s="56"/>
      <c r="CC70" s="56"/>
      <c r="CD70" s="56"/>
      <c r="CE70" s="56"/>
      <c r="CF70" s="56"/>
      <c r="CG70" s="56"/>
      <c r="CH70" s="56"/>
      <c r="CI70" s="56"/>
      <c r="CJ70" s="56"/>
      <c r="CK70" s="56"/>
    </row>
    <row r="71" spans="1:89" s="57" customFormat="1" ht="11.25" customHeight="1" x14ac:dyDescent="0.15">
      <c r="A71" s="282"/>
      <c r="B71" s="54"/>
      <c r="C71" s="54"/>
      <c r="D71" s="44"/>
      <c r="E71" s="44"/>
      <c r="F71" s="44"/>
      <c r="G71" s="44"/>
      <c r="H71" s="44"/>
      <c r="I71" s="44"/>
      <c r="J71" s="64" t="s">
        <v>40</v>
      </c>
      <c r="K71" s="44"/>
      <c r="L71" s="44"/>
      <c r="M71" s="44"/>
      <c r="N71" s="44"/>
      <c r="O71" s="65"/>
      <c r="P71" s="44"/>
      <c r="Q71" s="44"/>
      <c r="R71" s="44"/>
      <c r="S71" s="44"/>
      <c r="T71" s="44"/>
      <c r="U71" s="44"/>
      <c r="V71" s="44"/>
      <c r="W71" s="44"/>
      <c r="X71" s="44"/>
      <c r="Y71" s="65"/>
      <c r="Z71" s="65"/>
      <c r="AA71" s="65"/>
      <c r="AB71" s="55"/>
      <c r="AC71" s="55"/>
      <c r="AD71" s="73"/>
      <c r="AE71" s="55"/>
      <c r="AF71" s="55"/>
      <c r="AG71" s="55"/>
      <c r="AH71" s="55"/>
      <c r="AI71" s="55"/>
      <c r="AJ71" s="55"/>
      <c r="AK71" s="55"/>
      <c r="AL71" s="55"/>
      <c r="AM71" s="55"/>
      <c r="AN71" s="55"/>
      <c r="AV71" s="65"/>
      <c r="BQ71" s="65"/>
    </row>
    <row r="72" spans="1:89" x14ac:dyDescent="0.2">
      <c r="A72" s="283"/>
      <c r="B72" s="56"/>
      <c r="C72" s="56"/>
      <c r="J72" s="80" t="s">
        <v>40</v>
      </c>
      <c r="O72" s="81"/>
      <c r="Y72" s="81"/>
      <c r="Z72" s="81"/>
      <c r="AA72" s="81"/>
      <c r="AV72" s="81"/>
      <c r="BQ72" s="81"/>
    </row>
    <row r="73" spans="1:89" x14ac:dyDescent="0.2">
      <c r="A73" s="54"/>
      <c r="B73" s="54"/>
      <c r="C73" s="280"/>
      <c r="J73" s="80" t="s">
        <v>40</v>
      </c>
      <c r="O73" s="81"/>
      <c r="Y73" s="81"/>
      <c r="Z73" s="81"/>
      <c r="AA73" s="81"/>
      <c r="AB73" s="83"/>
      <c r="AC73" s="83"/>
      <c r="AD73" s="83"/>
      <c r="AE73" s="83"/>
      <c r="AF73" s="83"/>
      <c r="AG73" s="83"/>
      <c r="AH73" s="83"/>
      <c r="AI73" s="83"/>
      <c r="AJ73" s="83"/>
      <c r="AK73" s="83"/>
      <c r="AL73" s="83"/>
      <c r="AM73" s="83"/>
      <c r="AN73" s="83"/>
      <c r="AV73" s="81"/>
      <c r="BQ73" s="81"/>
    </row>
    <row r="74" spans="1:89" x14ac:dyDescent="0.2">
      <c r="A74" s="54"/>
      <c r="B74" s="56"/>
      <c r="C74" s="54"/>
      <c r="J74" s="80" t="s">
        <v>40</v>
      </c>
      <c r="O74" s="81"/>
      <c r="Y74" s="81"/>
      <c r="Z74" s="81"/>
      <c r="AA74" s="81"/>
      <c r="AB74" s="83"/>
      <c r="AC74" s="83"/>
      <c r="AD74" s="83"/>
      <c r="AV74" s="81"/>
      <c r="BQ74" s="81"/>
    </row>
    <row r="75" spans="1:89" x14ac:dyDescent="0.2">
      <c r="A75" s="54"/>
      <c r="B75" s="56"/>
      <c r="C75" s="54"/>
      <c r="J75" s="80"/>
      <c r="O75" s="81"/>
      <c r="Y75" s="81"/>
      <c r="Z75" s="81"/>
      <c r="AA75" s="81"/>
      <c r="AB75" s="83"/>
      <c r="AC75" s="83"/>
      <c r="AD75" s="83"/>
      <c r="AV75" s="81"/>
      <c r="BQ75" s="81"/>
    </row>
    <row r="76" spans="1:89" x14ac:dyDescent="0.2">
      <c r="A76" s="43"/>
      <c r="B76" s="44"/>
      <c r="C76" s="44"/>
      <c r="J76" s="64" t="s">
        <v>40</v>
      </c>
      <c r="O76" s="84"/>
      <c r="Y76" s="84"/>
      <c r="Z76" s="84"/>
      <c r="AA76" s="84"/>
      <c r="AV76" s="84"/>
      <c r="BQ76" s="84"/>
    </row>
    <row r="77" spans="1:89" s="57" customFormat="1" ht="11.25" customHeight="1" x14ac:dyDescent="0.15">
      <c r="A77" s="282"/>
      <c r="B77" s="54"/>
      <c r="C77" s="54"/>
      <c r="D77" s="44"/>
      <c r="E77" s="44"/>
      <c r="F77" s="44"/>
      <c r="G77" s="44"/>
      <c r="H77" s="44"/>
      <c r="I77" s="44"/>
      <c r="J77" s="64" t="s">
        <v>40</v>
      </c>
      <c r="K77" s="44"/>
      <c r="L77" s="44"/>
      <c r="M77" s="44"/>
      <c r="N77" s="44"/>
      <c r="O77" s="72"/>
      <c r="P77" s="44"/>
      <c r="Q77" s="44"/>
      <c r="R77" s="44"/>
      <c r="S77" s="44"/>
      <c r="T77" s="44"/>
      <c r="U77" s="44"/>
      <c r="V77" s="44"/>
      <c r="W77" s="44"/>
      <c r="X77" s="44"/>
      <c r="Y77" s="72"/>
      <c r="Z77" s="72"/>
      <c r="AA77" s="72"/>
      <c r="AB77" s="55"/>
      <c r="AC77" s="55"/>
      <c r="AD77" s="55"/>
      <c r="AE77" s="55"/>
      <c r="AF77" s="55"/>
      <c r="AG77" s="55"/>
      <c r="AH77" s="55"/>
      <c r="AI77" s="55"/>
      <c r="AJ77" s="55"/>
      <c r="AK77" s="55"/>
      <c r="AL77" s="55"/>
      <c r="AM77" s="55"/>
      <c r="AN77" s="55"/>
      <c r="AV77" s="72"/>
      <c r="BQ77" s="72"/>
    </row>
    <row r="78" spans="1:89" x14ac:dyDescent="0.2">
      <c r="B78" s="44"/>
      <c r="C78" s="44"/>
      <c r="J78" s="78" t="s">
        <v>40</v>
      </c>
      <c r="O78" s="81"/>
      <c r="Y78" s="81"/>
      <c r="Z78" s="81"/>
      <c r="AA78" s="81"/>
      <c r="AV78" s="81"/>
      <c r="BQ78" s="81"/>
    </row>
    <row r="79" spans="1:89" x14ac:dyDescent="0.2">
      <c r="J79" s="64" t="s">
        <v>40</v>
      </c>
      <c r="O79" s="81"/>
      <c r="Y79" s="81"/>
      <c r="Z79" s="81"/>
      <c r="AA79" s="81"/>
      <c r="AV79" s="81"/>
      <c r="BQ79" s="81"/>
    </row>
    <row r="80" spans="1:89" x14ac:dyDescent="0.2">
      <c r="J80" s="64" t="s">
        <v>40</v>
      </c>
      <c r="O80" s="85"/>
      <c r="Y80" s="85"/>
      <c r="Z80" s="85"/>
      <c r="AA80" s="85"/>
      <c r="AV80" s="85"/>
      <c r="BQ80" s="85"/>
    </row>
    <row r="81" spans="1:69" x14ac:dyDescent="0.2">
      <c r="J81" s="64" t="s">
        <v>40</v>
      </c>
      <c r="L81" s="43"/>
      <c r="M81" s="43" t="s">
        <v>53</v>
      </c>
      <c r="O81" s="81"/>
      <c r="Y81" s="81"/>
      <c r="Z81" s="81"/>
      <c r="AA81" s="81"/>
      <c r="AV81" s="81"/>
      <c r="BQ81" s="81"/>
    </row>
    <row r="82" spans="1:69" x14ac:dyDescent="0.2">
      <c r="J82" s="64" t="s">
        <v>40</v>
      </c>
    </row>
    <row r="83" spans="1:69" x14ac:dyDescent="0.2">
      <c r="J83" s="64" t="s">
        <v>40</v>
      </c>
    </row>
    <row r="84" spans="1:69" x14ac:dyDescent="0.2">
      <c r="C84" s="43" t="s">
        <v>240</v>
      </c>
      <c r="J84" s="78" t="s">
        <v>40</v>
      </c>
      <c r="M84" s="43" t="s">
        <v>241</v>
      </c>
    </row>
    <row r="85" spans="1:69" x14ac:dyDescent="0.2">
      <c r="J85" s="64" t="s">
        <v>40</v>
      </c>
    </row>
    <row r="86" spans="1:69" x14ac:dyDescent="0.2">
      <c r="J86" s="64" t="s">
        <v>40</v>
      </c>
    </row>
    <row r="87" spans="1:69" x14ac:dyDescent="0.2">
      <c r="J87" s="64" t="s">
        <v>40</v>
      </c>
    </row>
    <row r="88" spans="1:69" x14ac:dyDescent="0.2">
      <c r="A88" s="43"/>
      <c r="J88" s="64" t="s">
        <v>40</v>
      </c>
    </row>
    <row r="89" spans="1:69" x14ac:dyDescent="0.2">
      <c r="J89" s="64" t="s">
        <v>40</v>
      </c>
    </row>
    <row r="90" spans="1:69" x14ac:dyDescent="0.2">
      <c r="J90" s="64" t="s">
        <v>40</v>
      </c>
    </row>
    <row r="91" spans="1:69" x14ac:dyDescent="0.2">
      <c r="J91" s="64" t="s">
        <v>40</v>
      </c>
    </row>
    <row r="92" spans="1:69" x14ac:dyDescent="0.2">
      <c r="J92" s="64" t="s">
        <v>40</v>
      </c>
    </row>
    <row r="93" spans="1:69" x14ac:dyDescent="0.2">
      <c r="J93" s="64" t="s">
        <v>40</v>
      </c>
    </row>
    <row r="94" spans="1:69" x14ac:dyDescent="0.2">
      <c r="J94" s="80" t="s">
        <v>40</v>
      </c>
      <c r="O94" s="43"/>
      <c r="Y94" s="86"/>
      <c r="Z94" s="43"/>
      <c r="AA94" s="86"/>
      <c r="AV94" s="86"/>
      <c r="BQ94" s="86"/>
    </row>
    <row r="95" spans="1:69" x14ac:dyDescent="0.2">
      <c r="J95" s="80" t="s">
        <v>40</v>
      </c>
    </row>
    <row r="96" spans="1:69" x14ac:dyDescent="0.2">
      <c r="J96" s="80"/>
    </row>
    <row r="97" spans="3:69" x14ac:dyDescent="0.2">
      <c r="J97" s="80"/>
    </row>
    <row r="104" spans="3:69" ht="14.25" x14ac:dyDescent="0.2">
      <c r="J104" s="39"/>
      <c r="O104" s="87"/>
      <c r="Y104" s="89"/>
      <c r="Z104" s="41"/>
      <c r="AA104" s="89"/>
      <c r="AB104" s="41"/>
      <c r="AC104" s="41"/>
      <c r="AD104" s="41"/>
      <c r="AV104" s="89"/>
      <c r="BQ104" s="89"/>
    </row>
    <row r="112" spans="3:69" x14ac:dyDescent="0.2">
      <c r="C112" s="43" t="s">
        <v>173</v>
      </c>
    </row>
    <row r="170" spans="12:16" x14ac:dyDescent="0.2">
      <c r="L170" s="44" t="s">
        <v>11</v>
      </c>
      <c r="M170" s="44" t="s">
        <v>12</v>
      </c>
      <c r="N170" s="44">
        <v>2021</v>
      </c>
      <c r="P170" s="44">
        <v>2023</v>
      </c>
    </row>
    <row r="175" spans="12:16" x14ac:dyDescent="0.2">
      <c r="L175" s="43" t="s">
        <v>54</v>
      </c>
    </row>
    <row r="178" spans="12:12" x14ac:dyDescent="0.2">
      <c r="L178" s="43" t="s">
        <v>174</v>
      </c>
    </row>
    <row r="260" spans="2:16" x14ac:dyDescent="0.2">
      <c r="B260" s="44" t="s">
        <v>9</v>
      </c>
      <c r="C260" s="44" t="s">
        <v>8</v>
      </c>
      <c r="D260" s="44" t="s">
        <v>11</v>
      </c>
      <c r="E260" s="44" t="s">
        <v>12</v>
      </c>
      <c r="F260" s="44" t="s">
        <v>188</v>
      </c>
      <c r="G260" s="44" t="s">
        <v>189</v>
      </c>
      <c r="H260" s="44" t="s">
        <v>190</v>
      </c>
      <c r="I260" s="44" t="s">
        <v>187</v>
      </c>
      <c r="J260" s="44" t="s">
        <v>234</v>
      </c>
      <c r="K260" s="44" t="s">
        <v>235</v>
      </c>
      <c r="L260" s="44" t="s">
        <v>236</v>
      </c>
      <c r="M260" s="44" t="s">
        <v>237</v>
      </c>
      <c r="N260" s="44">
        <v>2023</v>
      </c>
      <c r="O260" s="44">
        <v>2024</v>
      </c>
      <c r="P260" s="44">
        <v>2025</v>
      </c>
    </row>
  </sheetData>
  <mergeCells count="13">
    <mergeCell ref="P1:S1"/>
    <mergeCell ref="B2:C2"/>
    <mergeCell ref="D2:E2"/>
    <mergeCell ref="A1:A2"/>
    <mergeCell ref="B1:C1"/>
    <mergeCell ref="D1:E1"/>
    <mergeCell ref="F1:I1"/>
    <mergeCell ref="K1:N1"/>
    <mergeCell ref="V2:X2"/>
    <mergeCell ref="D4:E4"/>
    <mergeCell ref="D5:E5"/>
    <mergeCell ref="B29:C29"/>
    <mergeCell ref="D29:E29"/>
  </mergeCells>
  <conditionalFormatting sqref="AB49:AD49 AG49:AI49 AL49:AN49 AQ49:AS49 BB49:BD49 BG49:BI49 BL49:BN49 BR49:BT49 BW49:BY49 CB49:CD49 CG49:CI49 U49:X49">
    <cfRule type="cellIs" dxfId="31" priority="7" operator="lessThan">
      <formula>0</formula>
    </cfRule>
    <cfRule type="cellIs" dxfId="30" priority="8" operator="greaterThan">
      <formula>0</formula>
    </cfRule>
  </conditionalFormatting>
  <conditionalFormatting sqref="AB49:AD49 AG49:AI49 AL49:AN49 AQ49:AS49 BB49:BD49 BG49:BI49 BL49:BN49 BR49:BT49 BW49:BY49 CB49:CD49 CG49:CI49 AW49:AY49">
    <cfRule type="cellIs" dxfId="29" priority="5" operator="lessThan">
      <formula>0</formula>
    </cfRule>
    <cfRule type="cellIs" dxfId="28" priority="6" operator="greaterThan">
      <formula>0</formula>
    </cfRule>
  </conditionalFormatting>
  <conditionalFormatting sqref="F49:I49 K49:N49 P49:S49">
    <cfRule type="cellIs" dxfId="27" priority="3" operator="lessThan">
      <formula>0</formula>
    </cfRule>
    <cfRule type="cellIs" dxfId="26" priority="4" operator="greaterThan">
      <formula>0</formula>
    </cfRule>
  </conditionalFormatting>
  <conditionalFormatting sqref="F49:I49 K49:N49 P49:S49">
    <cfRule type="cellIs" dxfId="25" priority="1" operator="lessThan">
      <formula>0</formula>
    </cfRule>
    <cfRule type="cellIs" dxfId="24" priority="2" operator="greaterThan">
      <formula>0</formula>
    </cfRule>
  </conditionalFormatting>
  <pageMargins left="0.78740157499999996" right="0.78740157499999996" top="0.984251969" bottom="0.984251969" header="0.4921259845" footer="0.4921259845"/>
  <pageSetup paperSize="9" scale="61" orientation="landscape"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W260"/>
  <sheetViews>
    <sheetView zoomScale="120" zoomScaleNormal="120" workbookViewId="0">
      <pane xSplit="1" topLeftCell="B1" activePane="topRight" state="frozen"/>
      <selection pane="topRight" activeCell="S40" sqref="S40"/>
    </sheetView>
  </sheetViews>
  <sheetFormatPr baseColWidth="10" defaultRowHeight="12.75" x14ac:dyDescent="0.2"/>
  <cols>
    <col min="1" max="1" width="43.42578125" style="44" customWidth="1"/>
    <col min="2" max="3" width="8.140625" style="43" customWidth="1"/>
    <col min="4" max="5" width="8.140625" style="44" customWidth="1"/>
    <col min="6" max="9" width="9.5703125" style="44" customWidth="1"/>
    <col min="10" max="20" width="9.85546875" style="44" customWidth="1"/>
    <col min="21" max="21" width="2.140625" style="44" customWidth="1"/>
    <col min="22" max="24" width="11.140625" style="44" customWidth="1"/>
    <col min="25" max="25" width="2.140625" style="45" customWidth="1"/>
    <col min="26" max="26" width="10.7109375" style="44" customWidth="1"/>
    <col min="27" max="27" width="2.140625" style="45" customWidth="1"/>
    <col min="28" max="42" width="10.7109375" style="46" customWidth="1"/>
    <col min="43" max="47" width="10.7109375" style="41" customWidth="1"/>
    <col min="48" max="48" width="2.140625" style="45" customWidth="1"/>
    <col min="49" max="63" width="10.7109375" style="46" customWidth="1"/>
    <col min="64" max="68" width="10.7109375" style="41" customWidth="1"/>
    <col min="69" max="69" width="2.140625" style="45" customWidth="1"/>
    <col min="70" max="84" width="10.7109375" style="46" customWidth="1"/>
    <col min="85" max="89" width="10.7109375" style="41" customWidth="1"/>
    <col min="90" max="16384" width="11.42578125" style="41"/>
  </cols>
  <sheetData>
    <row r="1" spans="1:179" s="46" customFormat="1" ht="10.5" customHeight="1" x14ac:dyDescent="0.2">
      <c r="A1" s="661" t="s">
        <v>127</v>
      </c>
      <c r="B1" s="663" t="s">
        <v>128</v>
      </c>
      <c r="C1" s="664"/>
      <c r="D1" s="665" t="s">
        <v>108</v>
      </c>
      <c r="E1" s="666"/>
      <c r="F1" s="654" t="s">
        <v>161</v>
      </c>
      <c r="G1" s="655"/>
      <c r="H1" s="655"/>
      <c r="I1" s="656"/>
      <c r="J1" s="90">
        <v>2020</v>
      </c>
      <c r="K1" s="654" t="s">
        <v>185</v>
      </c>
      <c r="L1" s="655"/>
      <c r="M1" s="655"/>
      <c r="N1" s="656"/>
      <c r="O1" s="90">
        <v>2021</v>
      </c>
      <c r="P1" s="654" t="s">
        <v>233</v>
      </c>
      <c r="Q1" s="655"/>
      <c r="R1" s="655"/>
      <c r="S1" s="656"/>
      <c r="T1" s="91">
        <v>2022</v>
      </c>
      <c r="U1" s="94"/>
      <c r="V1" s="644">
        <v>2023</v>
      </c>
      <c r="W1" s="645">
        <v>2024</v>
      </c>
      <c r="X1" s="646">
        <v>2025</v>
      </c>
      <c r="Y1" s="94"/>
      <c r="Z1" s="566" t="s">
        <v>238</v>
      </c>
      <c r="AA1" s="603"/>
      <c r="AB1" s="602">
        <v>2020</v>
      </c>
      <c r="AC1" s="95">
        <v>2020</v>
      </c>
      <c r="AD1" s="95">
        <v>2020</v>
      </c>
      <c r="AE1" s="90" t="s">
        <v>9</v>
      </c>
      <c r="AF1" s="584" t="s">
        <v>9</v>
      </c>
      <c r="AG1" s="602">
        <v>2020</v>
      </c>
      <c r="AH1" s="95">
        <v>2020</v>
      </c>
      <c r="AI1" s="95">
        <v>2020</v>
      </c>
      <c r="AJ1" s="90" t="s">
        <v>8</v>
      </c>
      <c r="AK1" s="584" t="s">
        <v>8</v>
      </c>
      <c r="AL1" s="602">
        <v>2020</v>
      </c>
      <c r="AM1" s="95">
        <v>2020</v>
      </c>
      <c r="AN1" s="95">
        <v>2020</v>
      </c>
      <c r="AO1" s="90" t="s">
        <v>11</v>
      </c>
      <c r="AP1" s="584" t="s">
        <v>11</v>
      </c>
      <c r="AQ1" s="602">
        <v>2020</v>
      </c>
      <c r="AR1" s="95">
        <v>2020</v>
      </c>
      <c r="AS1" s="95">
        <v>2020</v>
      </c>
      <c r="AT1" s="90" t="s">
        <v>12</v>
      </c>
      <c r="AU1" s="584" t="s">
        <v>12</v>
      </c>
      <c r="AV1" s="603"/>
      <c r="AW1" s="602">
        <v>2021</v>
      </c>
      <c r="AX1" s="96">
        <v>2021</v>
      </c>
      <c r="AY1" s="96">
        <v>2021</v>
      </c>
      <c r="AZ1" s="90" t="s">
        <v>188</v>
      </c>
      <c r="BA1" s="584" t="s">
        <v>188</v>
      </c>
      <c r="BB1" s="602">
        <v>2021</v>
      </c>
      <c r="BC1" s="96">
        <v>2021</v>
      </c>
      <c r="BD1" s="96">
        <v>2021</v>
      </c>
      <c r="BE1" s="90" t="s">
        <v>189</v>
      </c>
      <c r="BF1" s="584" t="s">
        <v>189</v>
      </c>
      <c r="BG1" s="602">
        <v>2021</v>
      </c>
      <c r="BH1" s="96">
        <v>2021</v>
      </c>
      <c r="BI1" s="96">
        <v>2021</v>
      </c>
      <c r="BJ1" s="90" t="s">
        <v>190</v>
      </c>
      <c r="BK1" s="584" t="s">
        <v>190</v>
      </c>
      <c r="BL1" s="586">
        <v>2021</v>
      </c>
      <c r="BM1" s="97">
        <v>2021</v>
      </c>
      <c r="BN1" s="97">
        <v>2021</v>
      </c>
      <c r="BO1" s="90" t="s">
        <v>187</v>
      </c>
      <c r="BP1" s="584" t="s">
        <v>187</v>
      </c>
      <c r="BQ1" s="94"/>
      <c r="BR1" s="586">
        <v>2022</v>
      </c>
      <c r="BS1" s="97">
        <v>2022</v>
      </c>
      <c r="BT1" s="97">
        <v>2022</v>
      </c>
      <c r="BU1" s="90" t="s">
        <v>234</v>
      </c>
      <c r="BV1" s="584" t="s">
        <v>234</v>
      </c>
      <c r="BW1" s="586">
        <v>2022</v>
      </c>
      <c r="BX1" s="97">
        <v>2022</v>
      </c>
      <c r="BY1" s="97">
        <v>2022</v>
      </c>
      <c r="BZ1" s="90" t="s">
        <v>235</v>
      </c>
      <c r="CA1" s="584" t="s">
        <v>235</v>
      </c>
      <c r="CB1" s="586">
        <v>2022</v>
      </c>
      <c r="CC1" s="97">
        <v>2022</v>
      </c>
      <c r="CD1" s="97">
        <v>2022</v>
      </c>
      <c r="CE1" s="90" t="s">
        <v>236</v>
      </c>
      <c r="CF1" s="584" t="s">
        <v>236</v>
      </c>
      <c r="CG1" s="586">
        <v>2022</v>
      </c>
      <c r="CH1" s="97">
        <v>2022</v>
      </c>
      <c r="CI1" s="97">
        <v>2022</v>
      </c>
      <c r="CJ1" s="90" t="s">
        <v>237</v>
      </c>
      <c r="CK1" s="584" t="s">
        <v>237</v>
      </c>
    </row>
    <row r="2" spans="1:179" s="46" customFormat="1" ht="10.5" customHeight="1" thickBot="1" x14ac:dyDescent="0.25">
      <c r="A2" s="662"/>
      <c r="B2" s="757" t="s">
        <v>111</v>
      </c>
      <c r="C2" s="758"/>
      <c r="D2" s="659" t="s">
        <v>129</v>
      </c>
      <c r="E2" s="660"/>
      <c r="F2" s="98" t="s">
        <v>215</v>
      </c>
      <c r="G2" s="99" t="s">
        <v>216</v>
      </c>
      <c r="H2" s="99" t="s">
        <v>6</v>
      </c>
      <c r="I2" s="100" t="s">
        <v>7</v>
      </c>
      <c r="J2" s="101" t="s">
        <v>162</v>
      </c>
      <c r="K2" s="98" t="s">
        <v>4</v>
      </c>
      <c r="L2" s="99" t="s">
        <v>5</v>
      </c>
      <c r="M2" s="99" t="s">
        <v>6</v>
      </c>
      <c r="N2" s="100" t="s">
        <v>7</v>
      </c>
      <c r="O2" s="101" t="s">
        <v>162</v>
      </c>
      <c r="P2" s="98" t="s">
        <v>4</v>
      </c>
      <c r="Q2" s="99" t="s">
        <v>5</v>
      </c>
      <c r="R2" s="99" t="s">
        <v>6</v>
      </c>
      <c r="S2" s="100" t="s">
        <v>7</v>
      </c>
      <c r="T2" s="102" t="s">
        <v>162</v>
      </c>
      <c r="U2" s="563"/>
      <c r="V2" s="667" t="s">
        <v>186</v>
      </c>
      <c r="W2" s="668"/>
      <c r="X2" s="669"/>
      <c r="Y2" s="103"/>
      <c r="Z2" s="565" t="s">
        <v>163</v>
      </c>
      <c r="AA2" s="604"/>
      <c r="AB2" s="587" t="s">
        <v>164</v>
      </c>
      <c r="AC2" s="104" t="s">
        <v>172</v>
      </c>
      <c r="AD2" s="104" t="s">
        <v>165</v>
      </c>
      <c r="AE2" s="105" t="s">
        <v>171</v>
      </c>
      <c r="AF2" s="585" t="s">
        <v>10</v>
      </c>
      <c r="AG2" s="587" t="s">
        <v>0</v>
      </c>
      <c r="AH2" s="104" t="s">
        <v>166</v>
      </c>
      <c r="AI2" s="104" t="s">
        <v>167</v>
      </c>
      <c r="AJ2" s="105" t="s">
        <v>171</v>
      </c>
      <c r="AK2" s="585" t="s">
        <v>10</v>
      </c>
      <c r="AL2" s="587" t="s">
        <v>168</v>
      </c>
      <c r="AM2" s="104" t="s">
        <v>1</v>
      </c>
      <c r="AN2" s="104" t="s">
        <v>2</v>
      </c>
      <c r="AO2" s="105" t="s">
        <v>171</v>
      </c>
      <c r="AP2" s="585" t="s">
        <v>10</v>
      </c>
      <c r="AQ2" s="587" t="s">
        <v>169</v>
      </c>
      <c r="AR2" s="104" t="s">
        <v>3</v>
      </c>
      <c r="AS2" s="104" t="s">
        <v>170</v>
      </c>
      <c r="AT2" s="105" t="s">
        <v>171</v>
      </c>
      <c r="AU2" s="585" t="s">
        <v>10</v>
      </c>
      <c r="AV2" s="604"/>
      <c r="AW2" s="587" t="s">
        <v>164</v>
      </c>
      <c r="AX2" s="104" t="s">
        <v>172</v>
      </c>
      <c r="AY2" s="104" t="s">
        <v>165</v>
      </c>
      <c r="AZ2" s="105" t="s">
        <v>171</v>
      </c>
      <c r="BA2" s="585" t="s">
        <v>10</v>
      </c>
      <c r="BB2" s="587" t="s">
        <v>0</v>
      </c>
      <c r="BC2" s="104" t="s">
        <v>166</v>
      </c>
      <c r="BD2" s="104" t="s">
        <v>167</v>
      </c>
      <c r="BE2" s="105" t="s">
        <v>171</v>
      </c>
      <c r="BF2" s="585" t="s">
        <v>10</v>
      </c>
      <c r="BG2" s="587" t="s">
        <v>168</v>
      </c>
      <c r="BH2" s="104" t="s">
        <v>1</v>
      </c>
      <c r="BI2" s="104" t="s">
        <v>2</v>
      </c>
      <c r="BJ2" s="105" t="s">
        <v>171</v>
      </c>
      <c r="BK2" s="585" t="s">
        <v>10</v>
      </c>
      <c r="BL2" s="587" t="s">
        <v>169</v>
      </c>
      <c r="BM2" s="104" t="s">
        <v>3</v>
      </c>
      <c r="BN2" s="104" t="s">
        <v>170</v>
      </c>
      <c r="BO2" s="105" t="s">
        <v>171</v>
      </c>
      <c r="BP2" s="585" t="s">
        <v>10</v>
      </c>
      <c r="BQ2" s="103"/>
      <c r="BR2" s="587" t="s">
        <v>164</v>
      </c>
      <c r="BS2" s="104" t="s">
        <v>172</v>
      </c>
      <c r="BT2" s="104" t="s">
        <v>165</v>
      </c>
      <c r="BU2" s="105" t="s">
        <v>171</v>
      </c>
      <c r="BV2" s="585" t="s">
        <v>10</v>
      </c>
      <c r="BW2" s="587" t="s">
        <v>0</v>
      </c>
      <c r="BX2" s="104" t="s">
        <v>166</v>
      </c>
      <c r="BY2" s="104" t="s">
        <v>167</v>
      </c>
      <c r="BZ2" s="105" t="s">
        <v>171</v>
      </c>
      <c r="CA2" s="585" t="s">
        <v>10</v>
      </c>
      <c r="CB2" s="587" t="s">
        <v>168</v>
      </c>
      <c r="CC2" s="104" t="s">
        <v>1</v>
      </c>
      <c r="CD2" s="104" t="s">
        <v>2</v>
      </c>
      <c r="CE2" s="105" t="s">
        <v>171</v>
      </c>
      <c r="CF2" s="585" t="s">
        <v>10</v>
      </c>
      <c r="CG2" s="587" t="s">
        <v>169</v>
      </c>
      <c r="CH2" s="104" t="s">
        <v>3</v>
      </c>
      <c r="CI2" s="104" t="s">
        <v>170</v>
      </c>
      <c r="CJ2" s="105" t="s">
        <v>171</v>
      </c>
      <c r="CK2" s="585" t="s">
        <v>10</v>
      </c>
    </row>
    <row r="3" spans="1:179" s="116" customFormat="1" ht="10.5" customHeight="1" x14ac:dyDescent="0.15">
      <c r="A3" s="467" t="s">
        <v>212</v>
      </c>
      <c r="B3" s="106"/>
      <c r="C3" s="107"/>
      <c r="D3" s="106"/>
      <c r="E3" s="108"/>
      <c r="F3" s="478"/>
      <c r="G3" s="479"/>
      <c r="H3" s="479"/>
      <c r="I3" s="479"/>
      <c r="J3" s="109"/>
      <c r="K3" s="479"/>
      <c r="L3" s="479"/>
      <c r="M3" s="479"/>
      <c r="N3" s="479"/>
      <c r="O3" s="110"/>
      <c r="P3" s="479"/>
      <c r="Q3" s="479"/>
      <c r="R3" s="479"/>
      <c r="S3" s="479"/>
      <c r="T3" s="111"/>
      <c r="U3" s="114"/>
      <c r="V3" s="112"/>
      <c r="W3" s="109"/>
      <c r="X3" s="113"/>
      <c r="Y3" s="114"/>
      <c r="Z3" s="567"/>
      <c r="AA3" s="605"/>
      <c r="AB3" s="478"/>
      <c r="AC3" s="479"/>
      <c r="AD3" s="479"/>
      <c r="AE3" s="479"/>
      <c r="AF3" s="115"/>
      <c r="AG3" s="478"/>
      <c r="AH3" s="479"/>
      <c r="AI3" s="479"/>
      <c r="AJ3" s="479"/>
      <c r="AK3" s="115"/>
      <c r="AL3" s="478"/>
      <c r="AM3" s="479"/>
      <c r="AN3" s="479"/>
      <c r="AO3" s="479"/>
      <c r="AP3" s="115"/>
      <c r="AQ3" s="478"/>
      <c r="AR3" s="479"/>
      <c r="AS3" s="479"/>
      <c r="AT3" s="479"/>
      <c r="AU3" s="115"/>
      <c r="AV3" s="605"/>
      <c r="AW3" s="478"/>
      <c r="AX3" s="479"/>
      <c r="AY3" s="479"/>
      <c r="AZ3" s="479"/>
      <c r="BA3" s="115"/>
      <c r="BB3" s="478"/>
      <c r="BC3" s="479"/>
      <c r="BD3" s="479"/>
      <c r="BE3" s="479"/>
      <c r="BF3" s="115"/>
      <c r="BG3" s="478"/>
      <c r="BH3" s="479"/>
      <c r="BI3" s="479"/>
      <c r="BJ3" s="479"/>
      <c r="BK3" s="115"/>
      <c r="BL3" s="478"/>
      <c r="BM3" s="479"/>
      <c r="BN3" s="479"/>
      <c r="BO3" s="479"/>
      <c r="BP3" s="115"/>
      <c r="BQ3" s="114"/>
      <c r="BR3" s="478"/>
      <c r="BS3" s="479"/>
      <c r="BT3" s="479"/>
      <c r="BU3" s="479"/>
      <c r="BV3" s="115"/>
      <c r="BW3" s="478"/>
      <c r="BX3" s="479"/>
      <c r="BY3" s="479"/>
      <c r="BZ3" s="479"/>
      <c r="CA3" s="115"/>
      <c r="CB3" s="478"/>
      <c r="CC3" s="479"/>
      <c r="CD3" s="479"/>
      <c r="CE3" s="479"/>
      <c r="CF3" s="115"/>
      <c r="CG3" s="478"/>
      <c r="CH3" s="479"/>
      <c r="CI3" s="479"/>
      <c r="CJ3" s="479"/>
      <c r="CK3" s="115"/>
    </row>
    <row r="4" spans="1:179" s="57" customFormat="1" ht="9.75" customHeight="1" x14ac:dyDescent="0.15">
      <c r="A4" s="468" t="s">
        <v>130</v>
      </c>
      <c r="B4" s="117">
        <v>0.2</v>
      </c>
      <c r="C4" s="118">
        <v>500000</v>
      </c>
      <c r="D4" s="670" t="s">
        <v>160</v>
      </c>
      <c r="E4" s="671"/>
      <c r="F4" s="480">
        <f>SUM(1000/G44)</f>
        <v>200</v>
      </c>
      <c r="G4" s="481">
        <f>SUM((F45+F46)/G44)</f>
        <v>200</v>
      </c>
      <c r="H4" s="481">
        <f>SUM((G45+G46)/H44)</f>
        <v>0</v>
      </c>
      <c r="I4" s="481">
        <f>SUM((H45+H46)/I44)</f>
        <v>0</v>
      </c>
      <c r="J4" s="119">
        <f>SUM(F4+G4+H4+I4)*3</f>
        <v>1200</v>
      </c>
      <c r="K4" s="482">
        <f>SUM((I45+I46)/K44)</f>
        <v>53.493460053462364</v>
      </c>
      <c r="L4" s="482">
        <f>SUM((K45+K46)/L44)</f>
        <v>180.00749267493191</v>
      </c>
      <c r="M4" s="482">
        <f>SUM((L45+L46)/M44)</f>
        <v>291.96062411586229</v>
      </c>
      <c r="N4" s="482">
        <f>SUM((M45+M46)/N44)</f>
        <v>427.29887029296378</v>
      </c>
      <c r="O4" s="119">
        <f>SUM(K4+L4+M4+N4)*3</f>
        <v>2858.2813414116608</v>
      </c>
      <c r="P4" s="482">
        <f>SUM((N45+N46)/P44)</f>
        <v>579.79983757859509</v>
      </c>
      <c r="Q4" s="482">
        <f>SUM((P45+P46)/Q44)</f>
        <v>751.12595242522855</v>
      </c>
      <c r="R4" s="482">
        <f>SUM((Q45+Q46)/R44)</f>
        <v>943.25302341360418</v>
      </c>
      <c r="S4" s="482">
        <f>SUM((R45+R46)/S44)</f>
        <v>1167.7354276112667</v>
      </c>
      <c r="T4" s="120">
        <f>SUM(P4+Q4+R4+S4)*3</f>
        <v>10325.742723086085</v>
      </c>
      <c r="U4" s="123"/>
      <c r="V4" s="121">
        <f>SUM(V45/V44)</f>
        <v>5302.054419718891</v>
      </c>
      <c r="W4" s="119">
        <f>SUM(W45/W44)</f>
        <v>49402.039301965036</v>
      </c>
      <c r="X4" s="122">
        <f>SUM(X45/X44)</f>
        <v>83333.333333333328</v>
      </c>
      <c r="Y4" s="123"/>
      <c r="Z4" s="568">
        <v>0</v>
      </c>
      <c r="AA4" s="606"/>
      <c r="AB4" s="480">
        <f t="shared" ref="AB4:AB15" si="0">F4</f>
        <v>200</v>
      </c>
      <c r="AC4" s="482">
        <f t="shared" ref="AC4:AC15" si="1">F4</f>
        <v>200</v>
      </c>
      <c r="AD4" s="482">
        <f t="shared" ref="AD4:AD15" si="2">F4</f>
        <v>200</v>
      </c>
      <c r="AE4" s="482">
        <f>SUM(AB4:AD4)</f>
        <v>600</v>
      </c>
      <c r="AF4" s="124"/>
      <c r="AG4" s="480">
        <f t="shared" ref="AG4:AG15" si="3">G4</f>
        <v>200</v>
      </c>
      <c r="AH4" s="482">
        <f t="shared" ref="AH4:AH15" si="4">G4</f>
        <v>200</v>
      </c>
      <c r="AI4" s="482">
        <f t="shared" ref="AI4:AI15" si="5">G4</f>
        <v>200</v>
      </c>
      <c r="AJ4" s="482">
        <f>SUM(AG4:AI4)</f>
        <v>600</v>
      </c>
      <c r="AK4" s="124"/>
      <c r="AL4" s="480">
        <f t="shared" ref="AL4:AL15" si="6">H4</f>
        <v>0</v>
      </c>
      <c r="AM4" s="482">
        <f t="shared" ref="AM4:AM15" si="7">H4</f>
        <v>0</v>
      </c>
      <c r="AN4" s="482">
        <f t="shared" ref="AN4:AN15" si="8">H4</f>
        <v>0</v>
      </c>
      <c r="AO4" s="482">
        <f>SUM(AL4:AN4)</f>
        <v>0</v>
      </c>
      <c r="AP4" s="124"/>
      <c r="AQ4" s="480">
        <f t="shared" ref="AQ4:AQ15" si="9">I4</f>
        <v>0</v>
      </c>
      <c r="AR4" s="482">
        <f t="shared" ref="AR4:AR15" si="10">I4</f>
        <v>0</v>
      </c>
      <c r="AS4" s="482">
        <f t="shared" ref="AS4:AS15" si="11">I4</f>
        <v>0</v>
      </c>
      <c r="AT4" s="482">
        <f>SUM(AQ4:AS4)</f>
        <v>0</v>
      </c>
      <c r="AU4" s="124"/>
      <c r="AV4" s="606"/>
      <c r="AW4" s="480">
        <f t="shared" ref="AW4:AW15" si="12">K4</f>
        <v>53.493460053462364</v>
      </c>
      <c r="AX4" s="482">
        <f t="shared" ref="AX4:AX15" si="13">K4</f>
        <v>53.493460053462364</v>
      </c>
      <c r="AY4" s="482">
        <f t="shared" ref="AY4:AY15" si="14">K4</f>
        <v>53.493460053462364</v>
      </c>
      <c r="AZ4" s="482">
        <f>SUM(AW4:AY4)</f>
        <v>160.48038016038709</v>
      </c>
      <c r="BA4" s="124"/>
      <c r="BB4" s="480">
        <f t="shared" ref="BB4:BB15" si="15">L4</f>
        <v>180.00749267493191</v>
      </c>
      <c r="BC4" s="482">
        <f t="shared" ref="BC4:BC15" si="16">L4</f>
        <v>180.00749267493191</v>
      </c>
      <c r="BD4" s="482">
        <f t="shared" ref="BD4:BD15" si="17">L4</f>
        <v>180.00749267493191</v>
      </c>
      <c r="BE4" s="482">
        <f>SUM(BB4:BD4)</f>
        <v>540.02247802479576</v>
      </c>
      <c r="BF4" s="124"/>
      <c r="BG4" s="480">
        <f t="shared" ref="BG4:BG15" si="18">M4</f>
        <v>291.96062411586229</v>
      </c>
      <c r="BH4" s="482">
        <f t="shared" ref="BH4:BH15" si="19">M4</f>
        <v>291.96062411586229</v>
      </c>
      <c r="BI4" s="482">
        <f t="shared" ref="BI4:BI15" si="20">M4</f>
        <v>291.96062411586229</v>
      </c>
      <c r="BJ4" s="482">
        <f>SUM(BG4:BI4)</f>
        <v>875.88187234758686</v>
      </c>
      <c r="BK4" s="124"/>
      <c r="BL4" s="480">
        <f t="shared" ref="BL4:BL15" si="21">N4</f>
        <v>427.29887029296378</v>
      </c>
      <c r="BM4" s="482">
        <f t="shared" ref="BM4:BM15" si="22">N4</f>
        <v>427.29887029296378</v>
      </c>
      <c r="BN4" s="482">
        <f t="shared" ref="BN4:BN15" si="23">N4</f>
        <v>427.29887029296378</v>
      </c>
      <c r="BO4" s="482">
        <f>SUM(BL4:BN4)</f>
        <v>1281.8966108788914</v>
      </c>
      <c r="BP4" s="124"/>
      <c r="BQ4" s="123"/>
      <c r="BR4" s="480">
        <f t="shared" ref="BR4:BR15" si="24">P4</f>
        <v>579.79983757859509</v>
      </c>
      <c r="BS4" s="482">
        <f t="shared" ref="BS4:BS15" si="25">P4</f>
        <v>579.79983757859509</v>
      </c>
      <c r="BT4" s="482">
        <f t="shared" ref="BT4:BT15" si="26">P4</f>
        <v>579.79983757859509</v>
      </c>
      <c r="BU4" s="482">
        <f>SUM(BR4:BT4)</f>
        <v>1739.3995127357853</v>
      </c>
      <c r="BV4" s="124"/>
      <c r="BW4" s="480">
        <f t="shared" ref="BW4:BW15" si="27">Q4</f>
        <v>751.12595242522855</v>
      </c>
      <c r="BX4" s="482">
        <f t="shared" ref="BX4:BX15" si="28">Q4</f>
        <v>751.12595242522855</v>
      </c>
      <c r="BY4" s="482">
        <f t="shared" ref="BY4:BY15" si="29">Q4</f>
        <v>751.12595242522855</v>
      </c>
      <c r="BZ4" s="482">
        <f>SUM(BW4:BY4)</f>
        <v>2253.3778572756855</v>
      </c>
      <c r="CA4" s="124"/>
      <c r="CB4" s="480">
        <f t="shared" ref="CB4:CB15" si="30">R4</f>
        <v>943.25302341360418</v>
      </c>
      <c r="CC4" s="482">
        <f t="shared" ref="CC4:CC15" si="31">R4</f>
        <v>943.25302341360418</v>
      </c>
      <c r="CD4" s="482">
        <f t="shared" ref="CD4:CD15" si="32">R4</f>
        <v>943.25302341360418</v>
      </c>
      <c r="CE4" s="482">
        <f>SUM(CB4:CD4)</f>
        <v>2829.7590702408124</v>
      </c>
      <c r="CF4" s="124"/>
      <c r="CG4" s="480">
        <f t="shared" ref="CG4:CG15" si="33">S4</f>
        <v>1167.7354276112667</v>
      </c>
      <c r="CH4" s="482">
        <f t="shared" ref="CH4:CH15" si="34">S4</f>
        <v>1167.7354276112667</v>
      </c>
      <c r="CI4" s="482">
        <f t="shared" ref="CI4:CI15" si="35">S4</f>
        <v>1167.7354276112667</v>
      </c>
      <c r="CJ4" s="482">
        <f>SUM(CG4:CI4)</f>
        <v>3503.2062828338003</v>
      </c>
      <c r="CK4" s="124"/>
    </row>
    <row r="5" spans="1:179" s="57" customFormat="1" ht="9.75" customHeight="1" x14ac:dyDescent="0.15">
      <c r="A5" s="468" t="s">
        <v>131</v>
      </c>
      <c r="B5" s="284">
        <v>100</v>
      </c>
      <c r="C5" s="285">
        <v>0.05</v>
      </c>
      <c r="D5" s="693"/>
      <c r="E5" s="694"/>
      <c r="F5" s="127">
        <v>1500</v>
      </c>
      <c r="G5" s="128">
        <v>2000</v>
      </c>
      <c r="H5" s="482">
        <f>SUM((IF(ISBLANK(D5),B5,D5))+(G5)*(IF(ISBLANK(E5),(1+C5),(1+E5))))</f>
        <v>2200</v>
      </c>
      <c r="I5" s="482">
        <f>SUM((IF(ISBLANK(D5),B5,D5))+(H5)*(IF(ISBLANK(E5),(1+C5),(1+E5))))</f>
        <v>2410</v>
      </c>
      <c r="J5" s="119">
        <f>SUM(F5+G5+H5+I5)*3</f>
        <v>24330</v>
      </c>
      <c r="K5" s="482">
        <f>SUM((IF(ISBLANK(D5),B5,D5))+(I5)*(IF(ISBLANK(E5),(1+C5),(1+E5))))</f>
        <v>2630.5</v>
      </c>
      <c r="L5" s="482">
        <f>SUM((IF(ISBLANK(D5),B5,D5))+(K5)*(IF(ISBLANK(E5),(1+C5),(1+E5))))</f>
        <v>2862.0250000000001</v>
      </c>
      <c r="M5" s="482">
        <f>SUM((IF(ISBLANK(D5),B5,D5))+(L5)*(IF(ISBLANK(E5),(1+C5),(1+E5))))</f>
        <v>3105.1262500000003</v>
      </c>
      <c r="N5" s="482">
        <f>SUM((IF(ISBLANK(D5),B5,D5))+(M5)*(IF(ISBLANK(E5),(1+C5),(1+E5))))</f>
        <v>3360.3825625000004</v>
      </c>
      <c r="O5" s="119">
        <f>SUM(K5+L5+M5+N5)*3</f>
        <v>35874.101437500001</v>
      </c>
      <c r="P5" s="482">
        <f>SUM((IF(ISBLANK(D5),B5,D5))+(N5)*(IF(ISBLANK(E5),(1+C5),(1+E5))))</f>
        <v>3628.4016906250004</v>
      </c>
      <c r="Q5" s="482">
        <f>SUM((IF(ISBLANK(D5),B5,D5))+(P5)*(IF(ISBLANK(E5),(1+C5),(1+E5))))</f>
        <v>3909.8217751562506</v>
      </c>
      <c r="R5" s="482">
        <f>SUM((IF(ISBLANK(D5),B5,D5))+(Q5)*(IF(ISBLANK(E5),(1+C5),(1+E5))))</f>
        <v>4205.3128639140632</v>
      </c>
      <c r="S5" s="482">
        <f>SUM((IF(ISBLANK(D5),B5,D5))+(R5)*(IF(ISBLANK(E5),(1+C5),(1+E5))))</f>
        <v>4515.5785071097662</v>
      </c>
      <c r="T5" s="120">
        <f>SUM(P5+Q5+R5+S5)*3</f>
        <v>48777.344510415249</v>
      </c>
      <c r="U5" s="123"/>
      <c r="V5" s="121">
        <f>SUM((IF(ISBLANK(D5),B5,D5))+(S5)*(IF(ISBLANK(E5),(1+C5),(1+E5))))*12</f>
        <v>58096.289189583054</v>
      </c>
      <c r="W5" s="119">
        <f>SUM((IF(ISBLANK(D5),B5,D5))+(V5)*(IF(ISBLANK(E5),(1+C5),(1+E5))))</f>
        <v>61101.103649062206</v>
      </c>
      <c r="X5" s="122">
        <f>SUM((IF(ISBLANK(D5),B5,D5))+(W5)*(IF(ISBLANK(E5),(1+C5),(1+E5))))</f>
        <v>64256.15883151532</v>
      </c>
      <c r="Y5" s="123"/>
      <c r="Z5" s="568">
        <v>2300</v>
      </c>
      <c r="AA5" s="606"/>
      <c r="AB5" s="480">
        <f t="shared" si="0"/>
        <v>1500</v>
      </c>
      <c r="AC5" s="482">
        <f t="shared" si="1"/>
        <v>1500</v>
      </c>
      <c r="AD5" s="482">
        <f t="shared" si="2"/>
        <v>1500</v>
      </c>
      <c r="AE5" s="482">
        <f>SUM(AB5:AD5)</f>
        <v>4500</v>
      </c>
      <c r="AF5" s="124"/>
      <c r="AG5" s="480">
        <f t="shared" si="3"/>
        <v>2000</v>
      </c>
      <c r="AH5" s="482">
        <f t="shared" si="4"/>
        <v>2000</v>
      </c>
      <c r="AI5" s="482">
        <f t="shared" si="5"/>
        <v>2000</v>
      </c>
      <c r="AJ5" s="482">
        <f>SUM(AG5:AI5)</f>
        <v>6000</v>
      </c>
      <c r="AK5" s="124"/>
      <c r="AL5" s="480">
        <f t="shared" si="6"/>
        <v>2200</v>
      </c>
      <c r="AM5" s="482">
        <f t="shared" si="7"/>
        <v>2200</v>
      </c>
      <c r="AN5" s="482">
        <f t="shared" si="8"/>
        <v>2200</v>
      </c>
      <c r="AO5" s="482">
        <f>SUM(AL5:AN5)</f>
        <v>6600</v>
      </c>
      <c r="AP5" s="124"/>
      <c r="AQ5" s="480">
        <f t="shared" si="9"/>
        <v>2410</v>
      </c>
      <c r="AR5" s="482">
        <f t="shared" si="10"/>
        <v>2410</v>
      </c>
      <c r="AS5" s="482">
        <f t="shared" si="11"/>
        <v>2410</v>
      </c>
      <c r="AT5" s="482">
        <f>SUM(AQ5:AS5)</f>
        <v>7230</v>
      </c>
      <c r="AU5" s="124"/>
      <c r="AV5" s="606"/>
      <c r="AW5" s="480">
        <f t="shared" si="12"/>
        <v>2630.5</v>
      </c>
      <c r="AX5" s="482">
        <f t="shared" si="13"/>
        <v>2630.5</v>
      </c>
      <c r="AY5" s="482">
        <f t="shared" si="14"/>
        <v>2630.5</v>
      </c>
      <c r="AZ5" s="482">
        <f>SUM(AW5:AY5)</f>
        <v>7891.5</v>
      </c>
      <c r="BA5" s="124"/>
      <c r="BB5" s="480">
        <f t="shared" si="15"/>
        <v>2862.0250000000001</v>
      </c>
      <c r="BC5" s="482">
        <f t="shared" si="16"/>
        <v>2862.0250000000001</v>
      </c>
      <c r="BD5" s="482">
        <f t="shared" si="17"/>
        <v>2862.0250000000001</v>
      </c>
      <c r="BE5" s="482">
        <f>SUM(BB5:BD5)</f>
        <v>8586.0750000000007</v>
      </c>
      <c r="BF5" s="124"/>
      <c r="BG5" s="480">
        <f t="shared" si="18"/>
        <v>3105.1262500000003</v>
      </c>
      <c r="BH5" s="482">
        <f t="shared" si="19"/>
        <v>3105.1262500000003</v>
      </c>
      <c r="BI5" s="482">
        <f t="shared" si="20"/>
        <v>3105.1262500000003</v>
      </c>
      <c r="BJ5" s="482">
        <f>SUM(BG5:BI5)</f>
        <v>9315.3787499999999</v>
      </c>
      <c r="BK5" s="124"/>
      <c r="BL5" s="480">
        <f t="shared" si="21"/>
        <v>3360.3825625000004</v>
      </c>
      <c r="BM5" s="482">
        <f t="shared" si="22"/>
        <v>3360.3825625000004</v>
      </c>
      <c r="BN5" s="482">
        <f t="shared" si="23"/>
        <v>3360.3825625000004</v>
      </c>
      <c r="BO5" s="482">
        <f>SUM(BL5:BN5)</f>
        <v>10081.147687500001</v>
      </c>
      <c r="BP5" s="124"/>
      <c r="BQ5" s="123"/>
      <c r="BR5" s="480">
        <f t="shared" si="24"/>
        <v>3628.4016906250004</v>
      </c>
      <c r="BS5" s="482">
        <f t="shared" si="25"/>
        <v>3628.4016906250004</v>
      </c>
      <c r="BT5" s="482">
        <f t="shared" si="26"/>
        <v>3628.4016906250004</v>
      </c>
      <c r="BU5" s="482">
        <f>SUM(BR5:BT5)</f>
        <v>10885.205071875002</v>
      </c>
      <c r="BV5" s="124"/>
      <c r="BW5" s="480">
        <f t="shared" si="27"/>
        <v>3909.8217751562506</v>
      </c>
      <c r="BX5" s="482">
        <f t="shared" si="28"/>
        <v>3909.8217751562506</v>
      </c>
      <c r="BY5" s="482">
        <f t="shared" si="29"/>
        <v>3909.8217751562506</v>
      </c>
      <c r="BZ5" s="482">
        <f>SUM(BW5:BY5)</f>
        <v>11729.465325468751</v>
      </c>
      <c r="CA5" s="124"/>
      <c r="CB5" s="480">
        <f t="shared" si="30"/>
        <v>4205.3128639140632</v>
      </c>
      <c r="CC5" s="482">
        <f t="shared" si="31"/>
        <v>4205.3128639140632</v>
      </c>
      <c r="CD5" s="482">
        <f t="shared" si="32"/>
        <v>4205.3128639140632</v>
      </c>
      <c r="CE5" s="482">
        <f>SUM(CB5:CD5)</f>
        <v>12615.93859174219</v>
      </c>
      <c r="CF5" s="124"/>
      <c r="CG5" s="480">
        <f t="shared" si="33"/>
        <v>4515.5785071097662</v>
      </c>
      <c r="CH5" s="482">
        <f t="shared" si="34"/>
        <v>4515.5785071097662</v>
      </c>
      <c r="CI5" s="482">
        <f t="shared" si="35"/>
        <v>4515.5785071097662</v>
      </c>
      <c r="CJ5" s="482">
        <f>SUM(CG5:CI5)</f>
        <v>13546.735521329298</v>
      </c>
      <c r="CK5" s="124"/>
    </row>
    <row r="6" spans="1:179" s="57" customFormat="1" ht="9.75" customHeight="1" x14ac:dyDescent="0.15">
      <c r="A6" s="468" t="s">
        <v>132</v>
      </c>
      <c r="B6" s="121">
        <v>100</v>
      </c>
      <c r="C6" s="126">
        <v>0.02</v>
      </c>
      <c r="D6" s="129"/>
      <c r="E6" s="624"/>
      <c r="F6" s="127">
        <v>0</v>
      </c>
      <c r="G6" s="128">
        <v>100</v>
      </c>
      <c r="H6" s="482">
        <f>SUM(IF(ISBLANK(D6),B6,D6)+(G18*(IF(ISBLANK(E6),C6,E6))))</f>
        <v>199.94916967524466</v>
      </c>
      <c r="I6" s="482">
        <f>SUM(IF(ISBLANK(D6),B6,D6)+(H18*(IF(ISBLANK(E6),C6,E6))))</f>
        <v>286.84071138900339</v>
      </c>
      <c r="J6" s="119">
        <f>SUM(F6+G6+H6+I6)*3</f>
        <v>1760.369643192744</v>
      </c>
      <c r="K6" s="482">
        <f>SUM(IF(ISBLANK(D6),B6,D6)+(I18*(IF(ISBLANK(E6),C6,E6))))</f>
        <v>348.29687406054848</v>
      </c>
      <c r="L6" s="482">
        <f>SUM(IF(ISBLANK(D6),B6,D6)+(K18*(IF(ISBLANK(E6),C6,E6))))</f>
        <v>417.95903335993063</v>
      </c>
      <c r="M6" s="482">
        <f>SUM(IF(ISBLANK(D6),B6,D6)+(L18*(IF(ISBLANK(E6),C6,E6))))</f>
        <v>479.66265788187724</v>
      </c>
      <c r="N6" s="482">
        <f>SUM(IF(ISBLANK(D6),B6,D6)+(M18*(IF(ISBLANK(E6),C6,E6))))</f>
        <v>536.05650564279927</v>
      </c>
      <c r="O6" s="119">
        <f>SUM(K6+L6+M6+N6)*3</f>
        <v>5345.9252128354674</v>
      </c>
      <c r="P6" s="482">
        <f>SUM(IF(ISBLANK(D6),B6,D6)+(N18*(IF(ISBLANK(E6),C6,E6))))</f>
        <v>590.79570266100905</v>
      </c>
      <c r="Q6" s="482">
        <f>SUM(IF(ISBLANK(D6),B6,D6)+(P18*(IF(ISBLANK(E6),C6,E6))))</f>
        <v>645.20129613304618</v>
      </c>
      <c r="R6" s="482">
        <f>SUM(IF(ISBLANK(D6),B6,D6)+(Q18*(IF(ISBLANK(E6),C6,E6))))</f>
        <v>707.44056256854867</v>
      </c>
      <c r="S6" s="482">
        <f>SUM(IF(ISBLANK(D6),B6,D6)+(R18*(IF(ISBLANK(E6),C6,E6))))</f>
        <v>780.45888859977413</v>
      </c>
      <c r="T6" s="120">
        <f>SUM(P6+Q6+R6+S6)*3</f>
        <v>8171.6893498871341</v>
      </c>
      <c r="U6" s="123"/>
      <c r="V6" s="121">
        <f>SUM(IF(ISBLANK(D6),B6,D6)+(S18*(IF(ISBLANK(E6),C6,E6))))*12</f>
        <v>10417.162929753813</v>
      </c>
      <c r="W6" s="119">
        <f>SUM(IF(ISBLANK(D6),B6,D6)+(V18*(IF(ISBLANK(E6),C6,E6))))*12</f>
        <v>27481.308424951603</v>
      </c>
      <c r="X6" s="122">
        <f>SUM(IF(ISBLANK(D6),B6,D6)+(W18*(IF(ISBLANK(E6),C6,E6))))*12</f>
        <v>52301.096358372248</v>
      </c>
      <c r="Y6" s="123"/>
      <c r="Z6" s="568">
        <v>0</v>
      </c>
      <c r="AA6" s="606"/>
      <c r="AB6" s="480">
        <f t="shared" si="0"/>
        <v>0</v>
      </c>
      <c r="AC6" s="482">
        <f t="shared" si="1"/>
        <v>0</v>
      </c>
      <c r="AD6" s="482">
        <f t="shared" si="2"/>
        <v>0</v>
      </c>
      <c r="AE6" s="482">
        <f t="shared" ref="AE6:AE17" si="36">SUM(AB6:AD6)</f>
        <v>0</v>
      </c>
      <c r="AF6" s="124"/>
      <c r="AG6" s="480">
        <f t="shared" si="3"/>
        <v>100</v>
      </c>
      <c r="AH6" s="482">
        <f t="shared" si="4"/>
        <v>100</v>
      </c>
      <c r="AI6" s="482">
        <f t="shared" si="5"/>
        <v>100</v>
      </c>
      <c r="AJ6" s="482">
        <f t="shared" ref="AJ6:AJ17" si="37">SUM(AG6:AI6)</f>
        <v>300</v>
      </c>
      <c r="AK6" s="124"/>
      <c r="AL6" s="480">
        <f t="shared" si="6"/>
        <v>199.94916967524466</v>
      </c>
      <c r="AM6" s="482">
        <f t="shared" si="7"/>
        <v>199.94916967524466</v>
      </c>
      <c r="AN6" s="482">
        <f t="shared" si="8"/>
        <v>199.94916967524466</v>
      </c>
      <c r="AO6" s="482">
        <f t="shared" ref="AO6:AO17" si="38">SUM(AL6:AN6)</f>
        <v>599.84750902573398</v>
      </c>
      <c r="AP6" s="124"/>
      <c r="AQ6" s="480">
        <f t="shared" si="9"/>
        <v>286.84071138900339</v>
      </c>
      <c r="AR6" s="482">
        <f t="shared" si="10"/>
        <v>286.84071138900339</v>
      </c>
      <c r="AS6" s="482">
        <f t="shared" si="11"/>
        <v>286.84071138900339</v>
      </c>
      <c r="AT6" s="482">
        <f t="shared" ref="AT6:AT17" si="39">SUM(AQ6:AS6)</f>
        <v>860.52213416701011</v>
      </c>
      <c r="AU6" s="124"/>
      <c r="AV6" s="606"/>
      <c r="AW6" s="480">
        <f t="shared" si="12"/>
        <v>348.29687406054848</v>
      </c>
      <c r="AX6" s="482">
        <f t="shared" si="13"/>
        <v>348.29687406054848</v>
      </c>
      <c r="AY6" s="482">
        <f t="shared" si="14"/>
        <v>348.29687406054848</v>
      </c>
      <c r="AZ6" s="482">
        <f t="shared" ref="AZ6:AZ17" si="40">SUM(AW6:AY6)</f>
        <v>1044.8906221816455</v>
      </c>
      <c r="BA6" s="124"/>
      <c r="BB6" s="480">
        <f t="shared" si="15"/>
        <v>417.95903335993063</v>
      </c>
      <c r="BC6" s="482">
        <f t="shared" si="16"/>
        <v>417.95903335993063</v>
      </c>
      <c r="BD6" s="482">
        <f t="shared" si="17"/>
        <v>417.95903335993063</v>
      </c>
      <c r="BE6" s="482">
        <f t="shared" ref="BE6:BE17" si="41">SUM(BB6:BD6)</f>
        <v>1253.8771000797919</v>
      </c>
      <c r="BF6" s="124"/>
      <c r="BG6" s="480">
        <f t="shared" si="18"/>
        <v>479.66265788187724</v>
      </c>
      <c r="BH6" s="482">
        <f t="shared" si="19"/>
        <v>479.66265788187724</v>
      </c>
      <c r="BI6" s="482">
        <f t="shared" si="20"/>
        <v>479.66265788187724</v>
      </c>
      <c r="BJ6" s="482">
        <f t="shared" ref="BJ6:BJ17" si="42">SUM(BG6:BI6)</f>
        <v>1438.9879736456317</v>
      </c>
      <c r="BK6" s="124"/>
      <c r="BL6" s="480">
        <f t="shared" si="21"/>
        <v>536.05650564279927</v>
      </c>
      <c r="BM6" s="482">
        <f t="shared" si="22"/>
        <v>536.05650564279927</v>
      </c>
      <c r="BN6" s="482">
        <f t="shared" si="23"/>
        <v>536.05650564279927</v>
      </c>
      <c r="BO6" s="482">
        <f t="shared" ref="BO6:BO8" si="43">SUM(BL6:BN6)</f>
        <v>1608.1695169283978</v>
      </c>
      <c r="BP6" s="124"/>
      <c r="BQ6" s="123"/>
      <c r="BR6" s="480">
        <f t="shared" si="24"/>
        <v>590.79570266100905</v>
      </c>
      <c r="BS6" s="482">
        <f t="shared" si="25"/>
        <v>590.79570266100905</v>
      </c>
      <c r="BT6" s="482">
        <f t="shared" si="26"/>
        <v>590.79570266100905</v>
      </c>
      <c r="BU6" s="482">
        <f t="shared" ref="BU6:BU8" si="44">SUM(BR6:BT6)</f>
        <v>1772.3871079830271</v>
      </c>
      <c r="BV6" s="124"/>
      <c r="BW6" s="480">
        <f t="shared" si="27"/>
        <v>645.20129613304618</v>
      </c>
      <c r="BX6" s="482">
        <f t="shared" si="28"/>
        <v>645.20129613304618</v>
      </c>
      <c r="BY6" s="482">
        <f t="shared" si="29"/>
        <v>645.20129613304618</v>
      </c>
      <c r="BZ6" s="482">
        <f t="shared" ref="BZ6:BZ8" si="45">SUM(BW6:BY6)</f>
        <v>1935.6038883991387</v>
      </c>
      <c r="CA6" s="124"/>
      <c r="CB6" s="480">
        <f t="shared" si="30"/>
        <v>707.44056256854867</v>
      </c>
      <c r="CC6" s="482">
        <f t="shared" si="31"/>
        <v>707.44056256854867</v>
      </c>
      <c r="CD6" s="482">
        <f t="shared" si="32"/>
        <v>707.44056256854867</v>
      </c>
      <c r="CE6" s="482">
        <f t="shared" ref="CE6:CE7" si="46">SUM(CB6:CD6)</f>
        <v>2122.3216877056461</v>
      </c>
      <c r="CF6" s="124"/>
      <c r="CG6" s="480">
        <f t="shared" si="33"/>
        <v>780.45888859977413</v>
      </c>
      <c r="CH6" s="482">
        <f t="shared" si="34"/>
        <v>780.45888859977413</v>
      </c>
      <c r="CI6" s="482">
        <f t="shared" si="35"/>
        <v>780.45888859977413</v>
      </c>
      <c r="CJ6" s="482">
        <f t="shared" ref="CJ6:CJ8" si="47">SUM(CG6:CI6)</f>
        <v>2341.3766657993224</v>
      </c>
      <c r="CK6" s="124"/>
    </row>
    <row r="7" spans="1:179" s="57" customFormat="1" ht="9.75" customHeight="1" x14ac:dyDescent="0.15">
      <c r="A7" s="468" t="s">
        <v>133</v>
      </c>
      <c r="B7" s="370">
        <v>0</v>
      </c>
      <c r="C7" s="285">
        <v>0</v>
      </c>
      <c r="D7" s="129"/>
      <c r="E7" s="624"/>
      <c r="F7" s="127">
        <v>0</v>
      </c>
      <c r="G7" s="128">
        <v>0</v>
      </c>
      <c r="H7" s="128">
        <v>0</v>
      </c>
      <c r="I7" s="128">
        <v>0</v>
      </c>
      <c r="J7" s="119">
        <f>SUM((F7+G7+H7+I7)*3)</f>
        <v>0</v>
      </c>
      <c r="K7" s="482">
        <f>SUM(IF(ISBLANK(D7),B7,D7)+(I18*(IF(ISBLANK(E7),C7,E7))))</f>
        <v>0</v>
      </c>
      <c r="L7" s="482">
        <f>SUM(IF(ISBLANK(D7),B7,D7)+(K18*(IF(ISBLANK(E7),C7,E7))))</f>
        <v>0</v>
      </c>
      <c r="M7" s="482">
        <f>SUM(IF(ISBLANK(D7),B7,D7)+(L18*(IF(ISBLANK(E7),C7,E7))))</f>
        <v>0</v>
      </c>
      <c r="N7" s="482">
        <f>SUM(IF(ISBLANK(D7),B7,D7)+(M18*(IF(ISBLANK(E7),C7,E7))))</f>
        <v>0</v>
      </c>
      <c r="O7" s="119">
        <f>SUM(K7+L7+M7+N7)*3</f>
        <v>0</v>
      </c>
      <c r="P7" s="482">
        <f>SUM(IF(ISBLANK(D7),B7,D7)+(N18*(IF(ISBLANK(E7),C7,E7))))</f>
        <v>0</v>
      </c>
      <c r="Q7" s="482">
        <f>SUM(IF(ISBLANK(D7),B7,D7)+(P18*(IF(ISBLANK(E7),C7,E7))))</f>
        <v>0</v>
      </c>
      <c r="R7" s="482">
        <f>SUM(IF(ISBLANK(D7),B7,D7)+(Q18*(IF(ISBLANK(E7),C7,E7))))</f>
        <v>0</v>
      </c>
      <c r="S7" s="482">
        <f>SUM(IF(ISBLANK(D7),B7,D7)+(R18*(IF(ISBLANK(E7),C7,E7))))</f>
        <v>0</v>
      </c>
      <c r="T7" s="120">
        <f>SUM(P7+Q7+R7+S7)*3</f>
        <v>0</v>
      </c>
      <c r="U7" s="123"/>
      <c r="V7" s="121">
        <f>SUM(IF(ISBLANK(D7),B7,D7)+(S18*(IF(ISBLANK(E7),C7,E7))))*12</f>
        <v>0</v>
      </c>
      <c r="W7" s="119">
        <f>SUM(IF(ISBLANK(D7),B7,D7)+(V18*(IF(ISBLANK(E7),C7,E7))))*12</f>
        <v>0</v>
      </c>
      <c r="X7" s="122">
        <f>SUM(IF(ISBLANK(D7),B7,D7)+(W18*(IF(ISBLANK(E7),C7,E7))))*12</f>
        <v>0</v>
      </c>
      <c r="Y7" s="123"/>
      <c r="Z7" s="568">
        <v>0</v>
      </c>
      <c r="AA7" s="606"/>
      <c r="AB7" s="480">
        <f t="shared" si="0"/>
        <v>0</v>
      </c>
      <c r="AC7" s="482">
        <f t="shared" si="1"/>
        <v>0</v>
      </c>
      <c r="AD7" s="482">
        <f t="shared" si="2"/>
        <v>0</v>
      </c>
      <c r="AE7" s="482">
        <f t="shared" si="36"/>
        <v>0</v>
      </c>
      <c r="AF7" s="124"/>
      <c r="AG7" s="480">
        <f t="shared" si="3"/>
        <v>0</v>
      </c>
      <c r="AH7" s="482">
        <f t="shared" si="4"/>
        <v>0</v>
      </c>
      <c r="AI7" s="482">
        <f t="shared" si="5"/>
        <v>0</v>
      </c>
      <c r="AJ7" s="482">
        <f t="shared" si="37"/>
        <v>0</v>
      </c>
      <c r="AK7" s="124"/>
      <c r="AL7" s="480">
        <f t="shared" si="6"/>
        <v>0</v>
      </c>
      <c r="AM7" s="482">
        <f t="shared" si="7"/>
        <v>0</v>
      </c>
      <c r="AN7" s="482">
        <f t="shared" si="8"/>
        <v>0</v>
      </c>
      <c r="AO7" s="482">
        <f t="shared" si="38"/>
        <v>0</v>
      </c>
      <c r="AP7" s="124"/>
      <c r="AQ7" s="480">
        <f t="shared" si="9"/>
        <v>0</v>
      </c>
      <c r="AR7" s="482">
        <f t="shared" si="10"/>
        <v>0</v>
      </c>
      <c r="AS7" s="482">
        <f t="shared" si="11"/>
        <v>0</v>
      </c>
      <c r="AT7" s="482">
        <f t="shared" si="39"/>
        <v>0</v>
      </c>
      <c r="AU7" s="124"/>
      <c r="AV7" s="606"/>
      <c r="AW7" s="480">
        <f t="shared" si="12"/>
        <v>0</v>
      </c>
      <c r="AX7" s="482">
        <f t="shared" si="13"/>
        <v>0</v>
      </c>
      <c r="AY7" s="482">
        <f t="shared" si="14"/>
        <v>0</v>
      </c>
      <c r="AZ7" s="482">
        <f t="shared" si="40"/>
        <v>0</v>
      </c>
      <c r="BA7" s="124"/>
      <c r="BB7" s="480">
        <f t="shared" si="15"/>
        <v>0</v>
      </c>
      <c r="BC7" s="482">
        <f t="shared" si="16"/>
        <v>0</v>
      </c>
      <c r="BD7" s="482">
        <f t="shared" si="17"/>
        <v>0</v>
      </c>
      <c r="BE7" s="482">
        <f t="shared" si="41"/>
        <v>0</v>
      </c>
      <c r="BF7" s="124"/>
      <c r="BG7" s="480">
        <f t="shared" si="18"/>
        <v>0</v>
      </c>
      <c r="BH7" s="482">
        <f t="shared" si="19"/>
        <v>0</v>
      </c>
      <c r="BI7" s="482">
        <f t="shared" si="20"/>
        <v>0</v>
      </c>
      <c r="BJ7" s="482">
        <f t="shared" si="42"/>
        <v>0</v>
      </c>
      <c r="BK7" s="124"/>
      <c r="BL7" s="480">
        <f t="shared" si="21"/>
        <v>0</v>
      </c>
      <c r="BM7" s="482">
        <f t="shared" si="22"/>
        <v>0</v>
      </c>
      <c r="BN7" s="482">
        <f t="shared" si="23"/>
        <v>0</v>
      </c>
      <c r="BO7" s="482">
        <f t="shared" si="43"/>
        <v>0</v>
      </c>
      <c r="BP7" s="124"/>
      <c r="BQ7" s="123"/>
      <c r="BR7" s="480">
        <f t="shared" si="24"/>
        <v>0</v>
      </c>
      <c r="BS7" s="482">
        <f t="shared" si="25"/>
        <v>0</v>
      </c>
      <c r="BT7" s="482">
        <f t="shared" si="26"/>
        <v>0</v>
      </c>
      <c r="BU7" s="482">
        <f t="shared" si="44"/>
        <v>0</v>
      </c>
      <c r="BV7" s="124"/>
      <c r="BW7" s="480">
        <f t="shared" si="27"/>
        <v>0</v>
      </c>
      <c r="BX7" s="482">
        <f t="shared" si="28"/>
        <v>0</v>
      </c>
      <c r="BY7" s="482">
        <f t="shared" si="29"/>
        <v>0</v>
      </c>
      <c r="BZ7" s="482">
        <f t="shared" si="45"/>
        <v>0</v>
      </c>
      <c r="CA7" s="124"/>
      <c r="CB7" s="480">
        <f t="shared" si="30"/>
        <v>0</v>
      </c>
      <c r="CC7" s="482">
        <f t="shared" si="31"/>
        <v>0</v>
      </c>
      <c r="CD7" s="482">
        <f t="shared" si="32"/>
        <v>0</v>
      </c>
      <c r="CE7" s="482">
        <f t="shared" si="46"/>
        <v>0</v>
      </c>
      <c r="CF7" s="124"/>
      <c r="CG7" s="480">
        <f t="shared" si="33"/>
        <v>0</v>
      </c>
      <c r="CH7" s="482">
        <f t="shared" si="34"/>
        <v>0</v>
      </c>
      <c r="CI7" s="482">
        <f t="shared" si="35"/>
        <v>0</v>
      </c>
      <c r="CJ7" s="482">
        <f t="shared" si="47"/>
        <v>0</v>
      </c>
      <c r="CK7" s="124"/>
    </row>
    <row r="8" spans="1:179" s="57" customFormat="1" ht="9.75" customHeight="1" thickBot="1" x14ac:dyDescent="0.2">
      <c r="A8" s="469" t="s">
        <v>134</v>
      </c>
      <c r="B8" s="372">
        <v>100000</v>
      </c>
      <c r="C8" s="286">
        <v>500000</v>
      </c>
      <c r="D8" s="132"/>
      <c r="E8" s="287"/>
      <c r="F8" s="508">
        <f>SUM(IF(((1-(Z18/(IF(ISBLANK(D8),B8,(IF(D8=0,9.99999999999999E+29,D8))))))*SUM(F4:F7))&lt;0,0,((1-(Z18/(IF(ISBLANK(D8),B8,(IF(D8=0,9.99999999999999E+29,D8))))))*SUM(F4:F7))))</f>
        <v>1674.5</v>
      </c>
      <c r="G8" s="509">
        <f>SUM(IF(((1-(F18/(IF(ISBLANK(D8),B8,(IF(D8=0,9.99999999999999E+29,D8))))))*SUM(G4:G7))&lt;0,0,((1-(F18/(IF(ISBLANK(D8),B8,(IF(D8=0,9.99999999999999E+29,D8))))))*SUM(G4:G7))))</f>
        <v>2251.389601822525</v>
      </c>
      <c r="H8" s="509">
        <f>SUM(IF(((1-(G18/(IF(ISBLANK(D8),B8,(IF(D8=0,9.99999999999999E+29,D8))))))*SUM(H4:H7))&lt;0,0,((1-(G18/(IF(ISBLANK(D8),B8,(IF(D8=0,9.99999999999999E+29,D8))))))*SUM(H4:H7))))</f>
        <v>2280.012706289328</v>
      </c>
      <c r="I8" s="509">
        <f>SUM(IF(((1-(H18/(IF(ISBLANK(D8),B8,(IF(D8=0,9.99999999999999E+29,D8))))))*SUM(I4:I7))&lt;0,0,((1-(H18/(IF(ISBLANK(D8),B8,(IF(D8=0,9.99999999999999E+29,D8))))))*SUM(I4:I7))))</f>
        <v>2444.9008928796297</v>
      </c>
      <c r="J8" s="510">
        <f t="shared" ref="J8" si="48">SUM(F8:I8)*3</f>
        <v>25952.409602974447</v>
      </c>
      <c r="K8" s="509">
        <f>SUM(IF(((1-(I18/(IF(ISBLANK(E8),C8,(IF(E8=0,9.99999999999999E+29,E8))))))*SUM(K4:K7))&lt;0,0,((1-(I18/(IF(ISBLANK(E8),C8,(IF(E8=0,9.99999999999999E+29,E8))))))*SUM(K4:K7))))</f>
        <v>2956.9995129935583</v>
      </c>
      <c r="L8" s="509">
        <f>SUM(IF(((1-(K18/(IF(ISBLANK(E8),C8,(IF(E8=0,9.99999999999999E+29,E8))))))*SUM(L4:L7))&lt;0,0,((1-(K18/(IF(ISBLANK(E8),C8,(IF(E8=0,9.99999999999999E+29,E8))))))*SUM(L4:L7))))</f>
        <v>3349.9779699297037</v>
      </c>
      <c r="M8" s="509">
        <f>SUM(IF(((1-(L18/(IF(ISBLANK(E8),C8,(IF(E8=0,9.99999999999999E+29,E8))))))*SUM(M4:M7))&lt;0,0,((1-(L18/(IF(ISBLANK(E8),C8,(IF(E8=0,9.99999999999999E+29,E8))))))*SUM(M4:M7))))</f>
        <v>3729.5638288716809</v>
      </c>
      <c r="N8" s="509">
        <f>SUM(IF(((1-(M18/(IF(ISBLANK(E8),C8,(IF(E8=0,9.99999999999999E+29,E8))))))*SUM(N4:N7))&lt;0,0,((1-(M18/(IF(ISBLANK(E8),C8,(IF(E8=0,9.99999999999999E+29,E8))))))*SUM(N4:N7))))</f>
        <v>4135.1985327608136</v>
      </c>
      <c r="O8" s="510">
        <f t="shared" ref="O8" si="49">SUM(K8:N8)*3</f>
        <v>42515.219533667267</v>
      </c>
      <c r="P8" s="509">
        <f>SUM(IF(((1-(N18/(IF(ISBLANK(E8),C8,(IF(E8=0,9.99999999999999E+29,E8))))))*SUM(P4:P7))&lt;0,0,((1-(N18/(IF(ISBLANK(E8),C8,(IF(E8=0,9.99999999999999E+29,E8))))))*SUM(P4:P7))))</f>
        <v>4563.4645090655622</v>
      </c>
      <c r="Q8" s="509">
        <f>SUM(IF(((1-(P18/(IF(ISBLANK(E8),C8,(IF(E8=0,9.99999999999999E+29,E8))))))*SUM(Q4:Q7))&lt;0,0,((1-(P18/(IF(ISBLANK(E8),C8,(IF(E8=0,9.99999999999999E+29,E8))))))*SUM(Q4:Q7))))</f>
        <v>5016.8570911940997</v>
      </c>
      <c r="R8" s="509">
        <f>SUM(IF(((1-(Q18/(IF(ISBLANK(E8),C8,(IF(E8=0,9.99999999999999E+29,E8))))))*SUM(R4:R7))&lt;0,0,((1-(Q18/(IF(ISBLANK(E8),C8,(IF(E8=0,9.99999999999999E+29,E8))))))*SUM(R4:R7))))</f>
        <v>5500.2888646632146</v>
      </c>
      <c r="S8" s="509">
        <f>SUM(IF(((1-(R18/(IF(ISBLANK(E8),C8,(IF(E8=0,9.99999999999999E+29,E8))))))*SUM(S4:S7))&lt;0,0,((1-(R18/(IF(ISBLANK(E8),C8,(IF(E8=0,9.99999999999999E+29,E8))))))*SUM(S4:S7))))</f>
        <v>6023.9396561689773</v>
      </c>
      <c r="T8" s="511">
        <f t="shared" ref="T8" si="50">SUM(P8:S8)*3</f>
        <v>63313.650363275556</v>
      </c>
      <c r="U8" s="562"/>
      <c r="V8" s="638">
        <f>SUM(IF(((1-(T18/(IF(ISBLANK(E8),C8,(IF(E8=0,9.99999999999999E+29,E8))))))*SUM(V4:V7))&lt;0,0,((1-(T18/(IF(ISBLANK(E8),C8,(IF(E8=0,9.99999999999999E+29,E8))))))*SUM(V4:V7))))</f>
        <v>68145.760284782547</v>
      </c>
      <c r="W8" s="510">
        <f>SUM(IF(((1-(V18/(IF(ISBLANK(E8),C8,(IF(E8=0,9.99999999999999E+29,E8))))))*SUM(W4:W7))&lt;0,0,((1-(V18/(IF(ISBLANK(E8),C8,(IF(E8=0,9.99999999999999E+29,E8))))))*SUM(W4:W7))))</f>
        <v>107764.35200548019</v>
      </c>
      <c r="X8" s="639">
        <f>SUM(IF(((1-(W18/(IF(ISBLANK(E8),C8,(IF(E8=0,9.99999999999999E+29,E8))))))*SUM(X4:X7))&lt;0,0,((1-(W18/(IF(ISBLANK(E8),C8,(IF(E8=0,9.99999999999999E+29,E8))))))*SUM(X4:X7))))</f>
        <v>114768.6866460805</v>
      </c>
      <c r="Y8" s="562"/>
      <c r="Z8" s="569">
        <f>SUM(Z4:Z7)</f>
        <v>2300</v>
      </c>
      <c r="AA8" s="607"/>
      <c r="AB8" s="508">
        <f t="shared" si="0"/>
        <v>1674.5</v>
      </c>
      <c r="AC8" s="509">
        <f t="shared" si="1"/>
        <v>1674.5</v>
      </c>
      <c r="AD8" s="509">
        <f t="shared" si="2"/>
        <v>1674.5</v>
      </c>
      <c r="AE8" s="509">
        <f t="shared" si="36"/>
        <v>5023.5</v>
      </c>
      <c r="AF8" s="133"/>
      <c r="AG8" s="508">
        <f t="shared" si="3"/>
        <v>2251.389601822525</v>
      </c>
      <c r="AH8" s="509">
        <f t="shared" si="4"/>
        <v>2251.389601822525</v>
      </c>
      <c r="AI8" s="509">
        <f t="shared" si="5"/>
        <v>2251.389601822525</v>
      </c>
      <c r="AJ8" s="509">
        <f t="shared" si="37"/>
        <v>6754.1688054675751</v>
      </c>
      <c r="AK8" s="133"/>
      <c r="AL8" s="508">
        <f t="shared" si="6"/>
        <v>2280.012706289328</v>
      </c>
      <c r="AM8" s="509">
        <f t="shared" si="7"/>
        <v>2280.012706289328</v>
      </c>
      <c r="AN8" s="509">
        <f t="shared" si="8"/>
        <v>2280.012706289328</v>
      </c>
      <c r="AO8" s="509">
        <f t="shared" si="38"/>
        <v>6840.0381188679839</v>
      </c>
      <c r="AP8" s="133"/>
      <c r="AQ8" s="508">
        <f t="shared" si="9"/>
        <v>2444.9008928796297</v>
      </c>
      <c r="AR8" s="509">
        <f t="shared" si="10"/>
        <v>2444.9008928796297</v>
      </c>
      <c r="AS8" s="509">
        <f t="shared" si="11"/>
        <v>2444.9008928796297</v>
      </c>
      <c r="AT8" s="509">
        <f t="shared" si="39"/>
        <v>7334.7026786388888</v>
      </c>
      <c r="AU8" s="133"/>
      <c r="AV8" s="607"/>
      <c r="AW8" s="508">
        <f t="shared" si="12"/>
        <v>2956.9995129935583</v>
      </c>
      <c r="AX8" s="509">
        <f t="shared" si="13"/>
        <v>2956.9995129935583</v>
      </c>
      <c r="AY8" s="509">
        <f t="shared" si="14"/>
        <v>2956.9995129935583</v>
      </c>
      <c r="AZ8" s="509">
        <f t="shared" si="40"/>
        <v>8870.9985389806752</v>
      </c>
      <c r="BA8" s="133"/>
      <c r="BB8" s="508">
        <f t="shared" si="15"/>
        <v>3349.9779699297037</v>
      </c>
      <c r="BC8" s="509">
        <f t="shared" si="16"/>
        <v>3349.9779699297037</v>
      </c>
      <c r="BD8" s="509">
        <f t="shared" si="17"/>
        <v>3349.9779699297037</v>
      </c>
      <c r="BE8" s="509">
        <f t="shared" si="41"/>
        <v>10049.933909789112</v>
      </c>
      <c r="BF8" s="133"/>
      <c r="BG8" s="508">
        <f t="shared" si="18"/>
        <v>3729.5638288716809</v>
      </c>
      <c r="BH8" s="509">
        <f t="shared" si="19"/>
        <v>3729.5638288716809</v>
      </c>
      <c r="BI8" s="509">
        <f t="shared" si="20"/>
        <v>3729.5638288716809</v>
      </c>
      <c r="BJ8" s="509">
        <f t="shared" si="42"/>
        <v>11188.691486615044</v>
      </c>
      <c r="BK8" s="133"/>
      <c r="BL8" s="508">
        <f t="shared" si="21"/>
        <v>4135.1985327608136</v>
      </c>
      <c r="BM8" s="509">
        <f t="shared" si="22"/>
        <v>4135.1985327608136</v>
      </c>
      <c r="BN8" s="509">
        <f t="shared" si="23"/>
        <v>4135.1985327608136</v>
      </c>
      <c r="BO8" s="509">
        <f t="shared" si="43"/>
        <v>12405.595598282442</v>
      </c>
      <c r="BP8" s="133"/>
      <c r="BQ8" s="562"/>
      <c r="BR8" s="508">
        <f t="shared" si="24"/>
        <v>4563.4645090655622</v>
      </c>
      <c r="BS8" s="509">
        <f t="shared" si="25"/>
        <v>4563.4645090655622</v>
      </c>
      <c r="BT8" s="509">
        <f t="shared" si="26"/>
        <v>4563.4645090655622</v>
      </c>
      <c r="BU8" s="509">
        <f t="shared" si="44"/>
        <v>13690.393527196688</v>
      </c>
      <c r="BV8" s="133"/>
      <c r="BW8" s="508">
        <f t="shared" si="27"/>
        <v>5016.8570911940997</v>
      </c>
      <c r="BX8" s="509">
        <f t="shared" si="28"/>
        <v>5016.8570911940997</v>
      </c>
      <c r="BY8" s="509">
        <f t="shared" si="29"/>
        <v>5016.8570911940997</v>
      </c>
      <c r="BZ8" s="509">
        <f t="shared" si="45"/>
        <v>15050.5712735823</v>
      </c>
      <c r="CA8" s="133"/>
      <c r="CB8" s="508">
        <f t="shared" si="30"/>
        <v>5500.2888646632146</v>
      </c>
      <c r="CC8" s="509">
        <f t="shared" si="31"/>
        <v>5500.2888646632146</v>
      </c>
      <c r="CD8" s="509">
        <f t="shared" si="32"/>
        <v>5500.2888646632146</v>
      </c>
      <c r="CE8" s="509">
        <f>SUM(CB8:CD8)</f>
        <v>16500.866593989645</v>
      </c>
      <c r="CF8" s="133"/>
      <c r="CG8" s="508">
        <f t="shared" si="33"/>
        <v>6023.9396561689773</v>
      </c>
      <c r="CH8" s="509">
        <f t="shared" si="34"/>
        <v>6023.9396561689773</v>
      </c>
      <c r="CI8" s="509">
        <f t="shared" si="35"/>
        <v>6023.9396561689773</v>
      </c>
      <c r="CJ8" s="509">
        <f t="shared" si="47"/>
        <v>18071.81896850693</v>
      </c>
      <c r="CK8" s="133"/>
      <c r="CL8" s="134"/>
    </row>
    <row r="9" spans="1:179" s="144" customFormat="1" ht="9.75" customHeight="1" x14ac:dyDescent="0.15">
      <c r="A9" s="470" t="s">
        <v>135</v>
      </c>
      <c r="B9" s="288">
        <v>0.03</v>
      </c>
      <c r="C9" s="647">
        <v>-1E-3</v>
      </c>
      <c r="D9" s="625"/>
      <c r="E9" s="289"/>
      <c r="F9" s="137">
        <v>0.01</v>
      </c>
      <c r="G9" s="138">
        <v>0.03</v>
      </c>
      <c r="H9" s="483">
        <f>SUM(IF((0*(IF(ISBLANK(E9),C9,E9)))+(IF(ISBLANK(D9),B9,D9)) &lt; 0, 0, (0*(IF(ISBLANK(E9),C9,E9)))+(IF(ISBLANK(D9),B9,D9))))</f>
        <v>0.03</v>
      </c>
      <c r="I9" s="483">
        <f>SUM(IF((1*(IF(ISBLANK(E9),C9,E9)))+(IF(ISBLANK(D9),B9,D9)) &lt; 0, 0, (1*(IF(ISBLANK(E9),C9,E9)))+(IF(ISBLANK(D9),B9,D9))))</f>
        <v>2.8999999999999998E-2</v>
      </c>
      <c r="J9" s="139">
        <f>SUM(((1+F9)*(1+F9)*(1+F9)*(1+G9)*(1+G9)*(1+G9)*(1+H9)*(1+H9)*(1+H9)*(1+I9)*(1+I9)*(1+I9))-1)</f>
        <v>0.34039745281817013</v>
      </c>
      <c r="K9" s="483">
        <f>SUM(IF((2*(IF(ISBLANK(E9),C9,E9)))+(IF(ISBLANK(D9),B9,D9)) &lt; 0, 0, (2*(IF(ISBLANK(E9),C9,E9)))+(IF(ISBLANK(D9),B9,D9))))</f>
        <v>2.7999999999999997E-2</v>
      </c>
      <c r="L9" s="483">
        <f>SUM(IF((3*(IF(ISBLANK(E9),C9,E9)))+(IF(ISBLANK(D9),B9,D9)) &lt; 0, 0, (3*(IF(ISBLANK(E9),C9,E9)))+(IF(ISBLANK(D9),B9,D9))))</f>
        <v>2.7E-2</v>
      </c>
      <c r="M9" s="483">
        <f>SUM(IF((4*(IF(ISBLANK(E9),C9,E9)))+(IF(ISBLANK(D9),B9,D9)) &lt; 0, 0, (4*(IF(ISBLANK(E9),C9,E9)))+(IF(ISBLANK(D9),B9,D9))))</f>
        <v>2.5999999999999999E-2</v>
      </c>
      <c r="N9" s="483">
        <f>SUM(IF((5*(IF(ISBLANK(E9),C9,E9)))+(IF(ISBLANK(D9),B9,D9)) &lt; 0, 0, (5*(IF(ISBLANK(E9),C9,E9)))+(IF(ISBLANK(D9),B9,D9))))</f>
        <v>2.4999999999999998E-2</v>
      </c>
      <c r="O9" s="139">
        <f>SUM(((1+K9)*(1+K9)*(1+K9)*(1+L9)*(1+L9)*(1+L9)*(1+M9)*(1+M9)*(1+M9)*(1+N9)*(1+N9)*(1+N9))-1)</f>
        <v>0.36868766494787564</v>
      </c>
      <c r="P9" s="483">
        <f>SUM(IF((6*(IF(ISBLANK(E9),C9,E9)))+(IF(ISBLANK(D9),B9,D9)) &lt; 0, 0, (6*(IF(ISBLANK(E9),C9,E9)))+(IF(ISBLANK(D9),B9,D9))))</f>
        <v>2.4E-2</v>
      </c>
      <c r="Q9" s="483">
        <f>SUM(IF((7*(IF(ISBLANK(E9),C9,E9)))+(IF(ISBLANK(D9),B9,D9)) &lt; 0, 0, (7*(IF(ISBLANK(E9),C9,E9)))+(IF(ISBLANK(D9),B9,D9))))</f>
        <v>2.3E-2</v>
      </c>
      <c r="R9" s="483">
        <f>SUM(IF((8*(IF(ISBLANK(E9),C9,E9)))+(IF(ISBLANK(D9),B9,D9)) &lt; 0, 0, (8*(IF(ISBLANK(E9),C9,E9)))+(IF(ISBLANK(D9),B9,D9))))</f>
        <v>2.1999999999999999E-2</v>
      </c>
      <c r="S9" s="483">
        <f>SUM(IF((9*(IF(ISBLANK(E9),C9,E9)))+(IF(ISBLANK(D9),B9,D9)) &lt; 0, 0, (9*(IF(ISBLANK(E9),C9,E9)))+(IF(ISBLANK(D9),B9,D9))))</f>
        <v>2.0999999999999998E-2</v>
      </c>
      <c r="T9" s="136">
        <f>SUM(((1+P9)*(1+P9)*(1+P9)*(1+Q9)*(1+Q9)*(1+Q9)*(1+R9)*(1+R9)*(1+R9)*(1+S9)*(1+S9)*(1+S9))-1)</f>
        <v>0.30604062088628847</v>
      </c>
      <c r="U9" s="290"/>
      <c r="V9" s="141">
        <f>SUM(IF((12*(IF(ISBLANK(E9),C9,E9)))+(IF(ISBLANK(D9),B9,D9)) &lt; 0, 0, (12*(IF(ISBLANK(E9),C9,E9)))+(IF(ISBLANK(D9),B9,D9))))*12</f>
        <v>0.21599999999999997</v>
      </c>
      <c r="W9" s="139">
        <f>SUM(IF((15*(IF(ISBLANK(E9),C9,E9)))+(IF(ISBLANK(D9),B9,D9)) &lt; 0, 0, (15*(IF(ISBLANK(E9),C9,E9)))+(IF(ISBLANK(D9),B9,D9))))*12</f>
        <v>0.18</v>
      </c>
      <c r="X9" s="140">
        <f>SUM(IF((18*(IF(ISBLANK(E9),C9,E9)))+(IF(ISBLANK(D9),B9,D9)) &lt; 0, 0, (18*(IF(ISBLANK(E9),C9,E9)))+(IF(ISBLANK(D9),B9,D9))))*12</f>
        <v>0.14399999999999996</v>
      </c>
      <c r="Y9" s="142"/>
      <c r="Z9" s="570">
        <v>0</v>
      </c>
      <c r="AA9" s="608"/>
      <c r="AB9" s="588">
        <f t="shared" si="0"/>
        <v>0.01</v>
      </c>
      <c r="AC9" s="483">
        <f t="shared" si="1"/>
        <v>0.01</v>
      </c>
      <c r="AD9" s="483">
        <f t="shared" si="2"/>
        <v>0.01</v>
      </c>
      <c r="AE9" s="483">
        <f t="shared" si="36"/>
        <v>0.03</v>
      </c>
      <c r="AF9" s="143"/>
      <c r="AG9" s="588">
        <f t="shared" si="3"/>
        <v>0.03</v>
      </c>
      <c r="AH9" s="483">
        <f t="shared" si="4"/>
        <v>0.03</v>
      </c>
      <c r="AI9" s="483">
        <f t="shared" si="5"/>
        <v>0.03</v>
      </c>
      <c r="AJ9" s="483">
        <f t="shared" si="37"/>
        <v>0.09</v>
      </c>
      <c r="AK9" s="143"/>
      <c r="AL9" s="588">
        <f t="shared" si="6"/>
        <v>0.03</v>
      </c>
      <c r="AM9" s="483">
        <f t="shared" si="7"/>
        <v>0.03</v>
      </c>
      <c r="AN9" s="483">
        <f t="shared" si="8"/>
        <v>0.03</v>
      </c>
      <c r="AO9" s="483">
        <f t="shared" si="38"/>
        <v>0.09</v>
      </c>
      <c r="AP9" s="143"/>
      <c r="AQ9" s="588">
        <f t="shared" si="9"/>
        <v>2.8999999999999998E-2</v>
      </c>
      <c r="AR9" s="483">
        <f t="shared" si="10"/>
        <v>2.8999999999999998E-2</v>
      </c>
      <c r="AS9" s="483">
        <f t="shared" si="11"/>
        <v>2.8999999999999998E-2</v>
      </c>
      <c r="AT9" s="483">
        <f t="shared" si="39"/>
        <v>8.6999999999999994E-2</v>
      </c>
      <c r="AU9" s="143"/>
      <c r="AV9" s="608"/>
      <c r="AW9" s="588">
        <f t="shared" si="12"/>
        <v>2.7999999999999997E-2</v>
      </c>
      <c r="AX9" s="483">
        <f t="shared" si="13"/>
        <v>2.7999999999999997E-2</v>
      </c>
      <c r="AY9" s="483">
        <f t="shared" si="14"/>
        <v>2.7999999999999997E-2</v>
      </c>
      <c r="AZ9" s="483">
        <f t="shared" si="40"/>
        <v>8.3999999999999991E-2</v>
      </c>
      <c r="BA9" s="143"/>
      <c r="BB9" s="588">
        <f t="shared" si="15"/>
        <v>2.7E-2</v>
      </c>
      <c r="BC9" s="483">
        <f t="shared" si="16"/>
        <v>2.7E-2</v>
      </c>
      <c r="BD9" s="483">
        <f t="shared" si="17"/>
        <v>2.7E-2</v>
      </c>
      <c r="BE9" s="483">
        <f t="shared" si="41"/>
        <v>8.1000000000000003E-2</v>
      </c>
      <c r="BF9" s="143"/>
      <c r="BG9" s="588">
        <f t="shared" si="18"/>
        <v>2.5999999999999999E-2</v>
      </c>
      <c r="BH9" s="483">
        <f t="shared" si="19"/>
        <v>2.5999999999999999E-2</v>
      </c>
      <c r="BI9" s="483">
        <f t="shared" si="20"/>
        <v>2.5999999999999999E-2</v>
      </c>
      <c r="BJ9" s="483">
        <f t="shared" si="42"/>
        <v>7.8E-2</v>
      </c>
      <c r="BK9" s="143"/>
      <c r="BL9" s="588">
        <f t="shared" si="21"/>
        <v>2.4999999999999998E-2</v>
      </c>
      <c r="BM9" s="483">
        <f t="shared" si="22"/>
        <v>2.4999999999999998E-2</v>
      </c>
      <c r="BN9" s="483">
        <f t="shared" si="23"/>
        <v>2.4999999999999998E-2</v>
      </c>
      <c r="BO9" s="483">
        <f t="shared" ref="BO9:BO15" si="51">SUM((BL9+BM9+BN9))</f>
        <v>7.4999999999999997E-2</v>
      </c>
      <c r="BP9" s="143"/>
      <c r="BQ9" s="290"/>
      <c r="BR9" s="588">
        <f t="shared" si="24"/>
        <v>2.4E-2</v>
      </c>
      <c r="BS9" s="483">
        <f t="shared" si="25"/>
        <v>2.4E-2</v>
      </c>
      <c r="BT9" s="483">
        <f t="shared" si="26"/>
        <v>2.4E-2</v>
      </c>
      <c r="BU9" s="483">
        <f t="shared" ref="BU9:BU15" si="52">SUM((BR9+BS9+BT9))</f>
        <v>7.2000000000000008E-2</v>
      </c>
      <c r="BV9" s="143"/>
      <c r="BW9" s="588">
        <f t="shared" si="27"/>
        <v>2.3E-2</v>
      </c>
      <c r="BX9" s="483">
        <f t="shared" si="28"/>
        <v>2.3E-2</v>
      </c>
      <c r="BY9" s="483">
        <f t="shared" si="29"/>
        <v>2.3E-2</v>
      </c>
      <c r="BZ9" s="483">
        <f t="shared" ref="BZ9:BZ15" si="53">SUM((BW9+BX9+BY9))</f>
        <v>6.9000000000000006E-2</v>
      </c>
      <c r="CA9" s="143"/>
      <c r="CB9" s="588">
        <f t="shared" si="30"/>
        <v>2.1999999999999999E-2</v>
      </c>
      <c r="CC9" s="483">
        <f t="shared" si="31"/>
        <v>2.1999999999999999E-2</v>
      </c>
      <c r="CD9" s="483">
        <f t="shared" si="32"/>
        <v>2.1999999999999999E-2</v>
      </c>
      <c r="CE9" s="483">
        <f t="shared" ref="CE9:CE16" si="54">SUM((CB9+CC9+CD9))</f>
        <v>6.6000000000000003E-2</v>
      </c>
      <c r="CF9" s="143"/>
      <c r="CG9" s="588">
        <f t="shared" si="33"/>
        <v>2.0999999999999998E-2</v>
      </c>
      <c r="CH9" s="483">
        <f t="shared" si="34"/>
        <v>2.0999999999999998E-2</v>
      </c>
      <c r="CI9" s="483">
        <f t="shared" si="35"/>
        <v>2.0999999999999998E-2</v>
      </c>
      <c r="CJ9" s="483">
        <f t="shared" ref="CJ9:CJ16" si="55">SUM((CG9+CH9+CI9))</f>
        <v>6.3E-2</v>
      </c>
      <c r="CK9" s="143"/>
    </row>
    <row r="10" spans="1:179" s="144" customFormat="1" ht="9.75" customHeight="1" x14ac:dyDescent="0.15">
      <c r="A10" s="472" t="s">
        <v>136</v>
      </c>
      <c r="B10" s="167">
        <v>0.03</v>
      </c>
      <c r="C10" s="285">
        <v>-2E-3</v>
      </c>
      <c r="D10" s="626"/>
      <c r="E10" s="292"/>
      <c r="F10" s="146">
        <v>0</v>
      </c>
      <c r="G10" s="147">
        <v>0.02</v>
      </c>
      <c r="H10" s="484">
        <f t="shared" ref="H10:H13" si="56">SUM(IF((0*(IF(ISBLANK(E10),C10,E10)))+(IF(ISBLANK(D10),B10,D10)) &lt; 0, 0, (0*(IF(ISBLANK(E10),C10,E10)))+(IF(ISBLANK(D10),B10,D10))))</f>
        <v>0.03</v>
      </c>
      <c r="I10" s="484">
        <f t="shared" ref="I10:I13" si="57">SUM(IF((1*(IF(ISBLANK(E10),C10,E10)))+(IF(ISBLANK(D10),B10,D10)) &lt; 0, 0, (1*(IF(ISBLANK(E10),C10,E10)))+(IF(ISBLANK(D10),B10,D10))))</f>
        <v>2.7999999999999997E-2</v>
      </c>
      <c r="J10" s="148">
        <f t="shared" ref="J10:J13" si="58">SUM(((1+F10)*(1+F10)*(1+F10)*(1+G10)*(1+G10)*(1+G10)*(1+H10)*(1+H10)*(1+H10)*(1+I10)*(1+I10)*(1+I10))-1)</f>
        <v>0.25977078747446236</v>
      </c>
      <c r="K10" s="484">
        <f t="shared" ref="K10:K13" si="59">SUM(IF((2*(IF(ISBLANK(E10),C10,E10)))+(IF(ISBLANK(D10),B10,D10)) &lt; 0, 0, (2*(IF(ISBLANK(E10),C10,E10)))+(IF(ISBLANK(D10),B10,D10))))</f>
        <v>2.5999999999999999E-2</v>
      </c>
      <c r="L10" s="484">
        <f t="shared" ref="L10:L13" si="60">SUM(IF((3*(IF(ISBLANK(E10),C10,E10)))+(IF(ISBLANK(D10),B10,D10)) &lt; 0, 0, (3*(IF(ISBLANK(E10),C10,E10)))+(IF(ISBLANK(D10),B10,D10))))</f>
        <v>2.4E-2</v>
      </c>
      <c r="M10" s="484">
        <f t="shared" ref="M10:M13" si="61">SUM(IF((4*(IF(ISBLANK(E10),C10,E10)))+(IF(ISBLANK(D10),B10,D10)) &lt; 0, 0, (4*(IF(ISBLANK(E10),C10,E10)))+(IF(ISBLANK(D10),B10,D10))))</f>
        <v>2.1999999999999999E-2</v>
      </c>
      <c r="N10" s="484">
        <f t="shared" ref="N10:N13" si="62">SUM(IF((5*(IF(ISBLANK(E10),C10,E10)))+(IF(ISBLANK(D10),B10,D10)) &lt; 0, 0, (5*(IF(ISBLANK(E10),C10,E10)))+(IF(ISBLANK(D10),B10,D10))))</f>
        <v>1.9999999999999997E-2</v>
      </c>
      <c r="O10" s="148">
        <f t="shared" ref="O10:O15" si="63">SUM(((1+K10)*(1+K10)*(1+K10)*(1+L10)*(1+L10)*(1+L10)*(1+M10)*(1+M10)*(1+M10)*(1+N10)*(1+N10)*(1+N10))-1)</f>
        <v>0.31369683902803924</v>
      </c>
      <c r="P10" s="484">
        <f t="shared" ref="P10:P13" si="64">SUM(IF((6*(IF(ISBLANK(E10),C10,E10)))+(IF(ISBLANK(D10),B10,D10)) &lt; 0, 0, (6*(IF(ISBLANK(E10),C10,E10)))+(IF(ISBLANK(D10),B10,D10))))</f>
        <v>1.7999999999999999E-2</v>
      </c>
      <c r="Q10" s="484">
        <f t="shared" ref="Q10:Q13" si="65">SUM(IF((7*(IF(ISBLANK(E10),C10,E10)))+(IF(ISBLANK(D10),B10,D10)) &lt; 0, 0, (7*(IF(ISBLANK(E10),C10,E10)))+(IF(ISBLANK(D10),B10,D10))))</f>
        <v>1.6E-2</v>
      </c>
      <c r="R10" s="484">
        <f t="shared" ref="R10:R13" si="66">SUM(IF((8*(IF(ISBLANK(E10),C10,E10)))+(IF(ISBLANK(D10),B10,D10)) &lt; 0, 0, (8*(IF(ISBLANK(E10),C10,E10)))+(IF(ISBLANK(D10),B10,D10))))</f>
        <v>1.3999999999999999E-2</v>
      </c>
      <c r="S10" s="484">
        <f t="shared" ref="S10:S13" si="67">SUM(IF((9*(IF(ISBLANK(E10),C10,E10)))+(IF(ISBLANK(D10),B10,D10)) &lt; 0, 0, (9*(IF(ISBLANK(E10),C10,E10)))+(IF(ISBLANK(D10),B10,D10))))</f>
        <v>1.1999999999999997E-2</v>
      </c>
      <c r="T10" s="126">
        <f t="shared" ref="T10:T15" si="68">SUM(((1+P10)*(1+P10)*(1+P10)*(1+Q10)*(1+Q10)*(1+Q10)*(1+R10)*(1+R10)*(1+R10)*(1+S10)*(1+S10)*(1+S10))-1)</f>
        <v>0.19558335560514584</v>
      </c>
      <c r="U10" s="293"/>
      <c r="V10" s="150">
        <f>SUM(IF((12*(IF(ISBLANK(E10),C10,E10)))+(IF(ISBLANK(D10),B10,D10)) &lt; 0, 0, (12*(IF(ISBLANK(E10),C10,E10)))+(IF(ISBLANK(D10),B10,D10))))*12</f>
        <v>7.1999999999999981E-2</v>
      </c>
      <c r="W10" s="148">
        <f>SUM(IF((15*(IF(ISBLANK(E10),C10,E10)))+(IF(ISBLANK(D10),B10,D10)) &lt; 0, 0, (15*(IF(ISBLANK(E10),C10,E10)))+(IF(ISBLANK(D10),B10,D10))))*12</f>
        <v>0</v>
      </c>
      <c r="X10" s="149">
        <f>SUM(IF((18*(IF(ISBLANK(E10),C10,E10)))+(IF(ISBLANK(D10),B10,D10)) &lt; 0, 0, (18*(IF(ISBLANK(E10),C10,E10)))+(IF(ISBLANK(D10),B10,D10))))*12</f>
        <v>0</v>
      </c>
      <c r="Y10" s="151"/>
      <c r="Z10" s="571">
        <v>0</v>
      </c>
      <c r="AA10" s="609"/>
      <c r="AB10" s="589">
        <f t="shared" si="0"/>
        <v>0</v>
      </c>
      <c r="AC10" s="484">
        <f t="shared" si="1"/>
        <v>0</v>
      </c>
      <c r="AD10" s="484">
        <f t="shared" si="2"/>
        <v>0</v>
      </c>
      <c r="AE10" s="484">
        <f t="shared" si="36"/>
        <v>0</v>
      </c>
      <c r="AF10" s="152"/>
      <c r="AG10" s="589">
        <f t="shared" si="3"/>
        <v>0.02</v>
      </c>
      <c r="AH10" s="484">
        <f t="shared" si="4"/>
        <v>0.02</v>
      </c>
      <c r="AI10" s="484">
        <f t="shared" si="5"/>
        <v>0.02</v>
      </c>
      <c r="AJ10" s="484">
        <f t="shared" si="37"/>
        <v>0.06</v>
      </c>
      <c r="AK10" s="152"/>
      <c r="AL10" s="589">
        <f t="shared" si="6"/>
        <v>0.03</v>
      </c>
      <c r="AM10" s="484">
        <f t="shared" si="7"/>
        <v>0.03</v>
      </c>
      <c r="AN10" s="484">
        <f t="shared" si="8"/>
        <v>0.03</v>
      </c>
      <c r="AO10" s="484">
        <f t="shared" si="38"/>
        <v>0.09</v>
      </c>
      <c r="AP10" s="152"/>
      <c r="AQ10" s="589">
        <f t="shared" si="9"/>
        <v>2.7999999999999997E-2</v>
      </c>
      <c r="AR10" s="484">
        <f t="shared" si="10"/>
        <v>2.7999999999999997E-2</v>
      </c>
      <c r="AS10" s="484">
        <f t="shared" si="11"/>
        <v>2.7999999999999997E-2</v>
      </c>
      <c r="AT10" s="484">
        <f t="shared" si="39"/>
        <v>8.3999999999999991E-2</v>
      </c>
      <c r="AU10" s="152"/>
      <c r="AV10" s="609"/>
      <c r="AW10" s="589">
        <f t="shared" si="12"/>
        <v>2.5999999999999999E-2</v>
      </c>
      <c r="AX10" s="484">
        <f t="shared" si="13"/>
        <v>2.5999999999999999E-2</v>
      </c>
      <c r="AY10" s="484">
        <f t="shared" si="14"/>
        <v>2.5999999999999999E-2</v>
      </c>
      <c r="AZ10" s="484">
        <f t="shared" si="40"/>
        <v>7.8E-2</v>
      </c>
      <c r="BA10" s="152"/>
      <c r="BB10" s="589">
        <f t="shared" si="15"/>
        <v>2.4E-2</v>
      </c>
      <c r="BC10" s="484">
        <f t="shared" si="16"/>
        <v>2.4E-2</v>
      </c>
      <c r="BD10" s="484">
        <f t="shared" si="17"/>
        <v>2.4E-2</v>
      </c>
      <c r="BE10" s="484">
        <f t="shared" si="41"/>
        <v>7.2000000000000008E-2</v>
      </c>
      <c r="BF10" s="152"/>
      <c r="BG10" s="589">
        <f t="shared" si="18"/>
        <v>2.1999999999999999E-2</v>
      </c>
      <c r="BH10" s="484">
        <f t="shared" si="19"/>
        <v>2.1999999999999999E-2</v>
      </c>
      <c r="BI10" s="484">
        <f t="shared" si="20"/>
        <v>2.1999999999999999E-2</v>
      </c>
      <c r="BJ10" s="484">
        <f t="shared" si="42"/>
        <v>6.6000000000000003E-2</v>
      </c>
      <c r="BK10" s="152"/>
      <c r="BL10" s="589">
        <f t="shared" si="21"/>
        <v>1.9999999999999997E-2</v>
      </c>
      <c r="BM10" s="484">
        <f t="shared" si="22"/>
        <v>1.9999999999999997E-2</v>
      </c>
      <c r="BN10" s="484">
        <f t="shared" si="23"/>
        <v>1.9999999999999997E-2</v>
      </c>
      <c r="BO10" s="484">
        <f t="shared" si="51"/>
        <v>5.9999999999999991E-2</v>
      </c>
      <c r="BP10" s="152"/>
      <c r="BQ10" s="293"/>
      <c r="BR10" s="589">
        <f t="shared" si="24"/>
        <v>1.7999999999999999E-2</v>
      </c>
      <c r="BS10" s="484">
        <f t="shared" si="25"/>
        <v>1.7999999999999999E-2</v>
      </c>
      <c r="BT10" s="484">
        <f t="shared" si="26"/>
        <v>1.7999999999999999E-2</v>
      </c>
      <c r="BU10" s="484">
        <f t="shared" si="52"/>
        <v>5.3999999999999992E-2</v>
      </c>
      <c r="BV10" s="152"/>
      <c r="BW10" s="589">
        <f t="shared" si="27"/>
        <v>1.6E-2</v>
      </c>
      <c r="BX10" s="484">
        <f t="shared" si="28"/>
        <v>1.6E-2</v>
      </c>
      <c r="BY10" s="484">
        <f t="shared" si="29"/>
        <v>1.6E-2</v>
      </c>
      <c r="BZ10" s="484">
        <f t="shared" si="53"/>
        <v>4.8000000000000001E-2</v>
      </c>
      <c r="CA10" s="152"/>
      <c r="CB10" s="589">
        <f t="shared" si="30"/>
        <v>1.3999999999999999E-2</v>
      </c>
      <c r="CC10" s="484">
        <f t="shared" si="31"/>
        <v>1.3999999999999999E-2</v>
      </c>
      <c r="CD10" s="484">
        <f t="shared" si="32"/>
        <v>1.3999999999999999E-2</v>
      </c>
      <c r="CE10" s="484">
        <f t="shared" si="54"/>
        <v>4.1999999999999996E-2</v>
      </c>
      <c r="CF10" s="152"/>
      <c r="CG10" s="589">
        <f t="shared" si="33"/>
        <v>1.1999999999999997E-2</v>
      </c>
      <c r="CH10" s="484">
        <f t="shared" si="34"/>
        <v>1.1999999999999997E-2</v>
      </c>
      <c r="CI10" s="484">
        <f t="shared" si="35"/>
        <v>1.1999999999999997E-2</v>
      </c>
      <c r="CJ10" s="484">
        <f t="shared" si="55"/>
        <v>3.599999999999999E-2</v>
      </c>
      <c r="CK10" s="152"/>
    </row>
    <row r="11" spans="1:179" s="144" customFormat="1" ht="9.75" customHeight="1" x14ac:dyDescent="0.15">
      <c r="A11" s="472" t="s">
        <v>138</v>
      </c>
      <c r="B11" s="167">
        <v>0.03</v>
      </c>
      <c r="C11" s="285">
        <v>-4.0000000000000001E-3</v>
      </c>
      <c r="D11" s="626"/>
      <c r="E11" s="292"/>
      <c r="F11" s="146">
        <v>0</v>
      </c>
      <c r="G11" s="147">
        <v>0.02</v>
      </c>
      <c r="H11" s="484">
        <f t="shared" si="56"/>
        <v>0.03</v>
      </c>
      <c r="I11" s="484">
        <f t="shared" si="57"/>
        <v>2.5999999999999999E-2</v>
      </c>
      <c r="J11" s="148">
        <f t="shared" si="58"/>
        <v>0.25243233536754506</v>
      </c>
      <c r="K11" s="484">
        <f t="shared" si="59"/>
        <v>2.1999999999999999E-2</v>
      </c>
      <c r="L11" s="484">
        <f t="shared" si="60"/>
        <v>1.7999999999999999E-2</v>
      </c>
      <c r="M11" s="484">
        <f t="shared" si="61"/>
        <v>1.3999999999999999E-2</v>
      </c>
      <c r="N11" s="484">
        <f t="shared" si="62"/>
        <v>9.9999999999999985E-3</v>
      </c>
      <c r="O11" s="148">
        <f t="shared" si="63"/>
        <v>0.20968976938335415</v>
      </c>
      <c r="P11" s="484">
        <f t="shared" si="64"/>
        <v>5.9999999999999984E-3</v>
      </c>
      <c r="Q11" s="484">
        <f t="shared" si="65"/>
        <v>1.9999999999999983E-3</v>
      </c>
      <c r="R11" s="484">
        <f t="shared" si="66"/>
        <v>0</v>
      </c>
      <c r="S11" s="484">
        <f t="shared" si="67"/>
        <v>0</v>
      </c>
      <c r="T11" s="126">
        <f t="shared" si="68"/>
        <v>2.4229090739457781E-2</v>
      </c>
      <c r="U11" s="293"/>
      <c r="V11" s="150">
        <f>SUM(IF((12*(IF(ISBLANK(E11),C11,E11)))+(IF(ISBLANK(D11),B11,D11)) &lt; 0, 0, (12*(IF(ISBLANK(E11),C11,E11)))+(IF(ISBLANK(D11),B11,D11))))*12</f>
        <v>0</v>
      </c>
      <c r="W11" s="148">
        <f>SUM(IF((15*(IF(ISBLANK(E11),C11,E11)))+(IF(ISBLANK(D11),B11,D11)) &lt; 0, 0, (15*(IF(ISBLANK(E11),C11,E11)))+(IF(ISBLANK(D11),B11,D11))))*12</f>
        <v>0</v>
      </c>
      <c r="X11" s="149">
        <f>SUM(IF((18*(IF(ISBLANK(E11),C11,E11)))+(IF(ISBLANK(D11),B11,D11)) &lt; 0, 0, (18*(IF(ISBLANK(E11),C11,E11)))+(IF(ISBLANK(D11),B11,D11))))*12</f>
        <v>0</v>
      </c>
      <c r="Y11" s="151"/>
      <c r="Z11" s="571">
        <v>0</v>
      </c>
      <c r="AA11" s="609"/>
      <c r="AB11" s="589">
        <f t="shared" si="0"/>
        <v>0</v>
      </c>
      <c r="AC11" s="484">
        <f t="shared" si="1"/>
        <v>0</v>
      </c>
      <c r="AD11" s="484">
        <f t="shared" si="2"/>
        <v>0</v>
      </c>
      <c r="AE11" s="484">
        <f t="shared" si="36"/>
        <v>0</v>
      </c>
      <c r="AF11" s="152"/>
      <c r="AG11" s="589">
        <f t="shared" si="3"/>
        <v>0.02</v>
      </c>
      <c r="AH11" s="484">
        <f t="shared" si="4"/>
        <v>0.02</v>
      </c>
      <c r="AI11" s="484">
        <f t="shared" si="5"/>
        <v>0.02</v>
      </c>
      <c r="AJ11" s="484">
        <f t="shared" si="37"/>
        <v>0.06</v>
      </c>
      <c r="AK11" s="152"/>
      <c r="AL11" s="589">
        <f t="shared" si="6"/>
        <v>0.03</v>
      </c>
      <c r="AM11" s="484">
        <f t="shared" si="7"/>
        <v>0.03</v>
      </c>
      <c r="AN11" s="484">
        <f t="shared" si="8"/>
        <v>0.03</v>
      </c>
      <c r="AO11" s="484">
        <f t="shared" si="38"/>
        <v>0.09</v>
      </c>
      <c r="AP11" s="152"/>
      <c r="AQ11" s="589">
        <f t="shared" si="9"/>
        <v>2.5999999999999999E-2</v>
      </c>
      <c r="AR11" s="484">
        <f t="shared" si="10"/>
        <v>2.5999999999999999E-2</v>
      </c>
      <c r="AS11" s="484">
        <f t="shared" si="11"/>
        <v>2.5999999999999999E-2</v>
      </c>
      <c r="AT11" s="484">
        <f t="shared" si="39"/>
        <v>7.8E-2</v>
      </c>
      <c r="AU11" s="152"/>
      <c r="AV11" s="609"/>
      <c r="AW11" s="589">
        <f t="shared" si="12"/>
        <v>2.1999999999999999E-2</v>
      </c>
      <c r="AX11" s="484">
        <f t="shared" si="13"/>
        <v>2.1999999999999999E-2</v>
      </c>
      <c r="AY11" s="484">
        <f t="shared" si="14"/>
        <v>2.1999999999999999E-2</v>
      </c>
      <c r="AZ11" s="484">
        <f t="shared" si="40"/>
        <v>6.6000000000000003E-2</v>
      </c>
      <c r="BA11" s="152"/>
      <c r="BB11" s="589">
        <f t="shared" si="15"/>
        <v>1.7999999999999999E-2</v>
      </c>
      <c r="BC11" s="484">
        <f t="shared" si="16"/>
        <v>1.7999999999999999E-2</v>
      </c>
      <c r="BD11" s="484">
        <f t="shared" si="17"/>
        <v>1.7999999999999999E-2</v>
      </c>
      <c r="BE11" s="484">
        <f t="shared" si="41"/>
        <v>5.3999999999999992E-2</v>
      </c>
      <c r="BF11" s="152"/>
      <c r="BG11" s="589">
        <f t="shared" si="18"/>
        <v>1.3999999999999999E-2</v>
      </c>
      <c r="BH11" s="484">
        <f t="shared" si="19"/>
        <v>1.3999999999999999E-2</v>
      </c>
      <c r="BI11" s="484">
        <f t="shared" si="20"/>
        <v>1.3999999999999999E-2</v>
      </c>
      <c r="BJ11" s="484">
        <f t="shared" si="42"/>
        <v>4.1999999999999996E-2</v>
      </c>
      <c r="BK11" s="152"/>
      <c r="BL11" s="589">
        <f t="shared" si="21"/>
        <v>9.9999999999999985E-3</v>
      </c>
      <c r="BM11" s="484">
        <f t="shared" si="22"/>
        <v>9.9999999999999985E-3</v>
      </c>
      <c r="BN11" s="484">
        <f t="shared" si="23"/>
        <v>9.9999999999999985E-3</v>
      </c>
      <c r="BO11" s="484">
        <f t="shared" si="51"/>
        <v>2.9999999999999995E-2</v>
      </c>
      <c r="BP11" s="152"/>
      <c r="BQ11" s="293"/>
      <c r="BR11" s="589">
        <f t="shared" si="24"/>
        <v>5.9999999999999984E-3</v>
      </c>
      <c r="BS11" s="484">
        <f t="shared" si="25"/>
        <v>5.9999999999999984E-3</v>
      </c>
      <c r="BT11" s="484">
        <f t="shared" si="26"/>
        <v>5.9999999999999984E-3</v>
      </c>
      <c r="BU11" s="484">
        <f t="shared" si="52"/>
        <v>1.7999999999999995E-2</v>
      </c>
      <c r="BV11" s="152"/>
      <c r="BW11" s="589">
        <f t="shared" si="27"/>
        <v>1.9999999999999983E-3</v>
      </c>
      <c r="BX11" s="484">
        <f t="shared" si="28"/>
        <v>1.9999999999999983E-3</v>
      </c>
      <c r="BY11" s="484">
        <f t="shared" si="29"/>
        <v>1.9999999999999983E-3</v>
      </c>
      <c r="BZ11" s="484">
        <f t="shared" si="53"/>
        <v>5.9999999999999949E-3</v>
      </c>
      <c r="CA11" s="152"/>
      <c r="CB11" s="589">
        <f t="shared" si="30"/>
        <v>0</v>
      </c>
      <c r="CC11" s="484">
        <f t="shared" si="31"/>
        <v>0</v>
      </c>
      <c r="CD11" s="484">
        <f t="shared" si="32"/>
        <v>0</v>
      </c>
      <c r="CE11" s="484">
        <f t="shared" si="54"/>
        <v>0</v>
      </c>
      <c r="CF11" s="152"/>
      <c r="CG11" s="589">
        <f t="shared" si="33"/>
        <v>0</v>
      </c>
      <c r="CH11" s="484">
        <f t="shared" si="34"/>
        <v>0</v>
      </c>
      <c r="CI11" s="484">
        <f t="shared" si="35"/>
        <v>0</v>
      </c>
      <c r="CJ11" s="484">
        <f t="shared" si="55"/>
        <v>0</v>
      </c>
      <c r="CK11" s="152"/>
    </row>
    <row r="12" spans="1:179" s="144" customFormat="1" ht="9.75" customHeight="1" x14ac:dyDescent="0.15">
      <c r="A12" s="472" t="s">
        <v>137</v>
      </c>
      <c r="B12" s="167">
        <v>0.03</v>
      </c>
      <c r="C12" s="285">
        <v>-5.0000000000000001E-3</v>
      </c>
      <c r="D12" s="291"/>
      <c r="E12" s="292"/>
      <c r="F12" s="146">
        <v>0</v>
      </c>
      <c r="G12" s="147">
        <v>0.05</v>
      </c>
      <c r="H12" s="484">
        <f t="shared" si="56"/>
        <v>0.03</v>
      </c>
      <c r="I12" s="484">
        <f t="shared" si="57"/>
        <v>2.4999999999999998E-2</v>
      </c>
      <c r="J12" s="148">
        <f t="shared" si="58"/>
        <v>0.36223228067966207</v>
      </c>
      <c r="K12" s="484">
        <f t="shared" si="59"/>
        <v>1.9999999999999997E-2</v>
      </c>
      <c r="L12" s="484">
        <f t="shared" si="60"/>
        <v>1.4999999999999999E-2</v>
      </c>
      <c r="M12" s="484">
        <f t="shared" si="61"/>
        <v>9.9999999999999985E-3</v>
      </c>
      <c r="N12" s="484">
        <f t="shared" si="62"/>
        <v>4.9999999999999975E-3</v>
      </c>
      <c r="O12" s="148">
        <f t="shared" si="63"/>
        <v>0.16054223105011522</v>
      </c>
      <c r="P12" s="484">
        <f t="shared" si="64"/>
        <v>0</v>
      </c>
      <c r="Q12" s="484">
        <f t="shared" si="65"/>
        <v>0</v>
      </c>
      <c r="R12" s="484">
        <f t="shared" si="66"/>
        <v>0</v>
      </c>
      <c r="S12" s="484">
        <f t="shared" si="67"/>
        <v>0</v>
      </c>
      <c r="T12" s="126">
        <f t="shared" si="68"/>
        <v>0</v>
      </c>
      <c r="U12" s="293"/>
      <c r="V12" s="150">
        <f>SUM(IF((12*(IF(ISBLANK(E12),C12,E12)))+(IF(ISBLANK(D12),B12,D12)) &lt; 0, 0, (12*(IF(ISBLANK(E12),C12,E12)))+(IF(ISBLANK(D12),B12,D12))))*12</f>
        <v>0</v>
      </c>
      <c r="W12" s="148">
        <f>SUM(IF((15*(IF(ISBLANK(E12),C12,E12)))+(IF(ISBLANK(D12),B12,D12)) &lt; 0, 0, (15*(IF(ISBLANK(E12),C12,E12)))+(IF(ISBLANK(D12),B12,D12))))*12</f>
        <v>0</v>
      </c>
      <c r="X12" s="149">
        <f>SUM(IF((18*(IF(ISBLANK(E12),C12,E12)))+(IF(ISBLANK(D12),B12,D12)) &lt; 0, 0, (18*(IF(ISBLANK(E12),C12,E12)))+(IF(ISBLANK(D12),B12,D12))))*12</f>
        <v>0</v>
      </c>
      <c r="Y12" s="151"/>
      <c r="Z12" s="571">
        <v>0</v>
      </c>
      <c r="AA12" s="609"/>
      <c r="AB12" s="589">
        <f t="shared" si="0"/>
        <v>0</v>
      </c>
      <c r="AC12" s="484">
        <f t="shared" si="1"/>
        <v>0</v>
      </c>
      <c r="AD12" s="484">
        <f t="shared" si="2"/>
        <v>0</v>
      </c>
      <c r="AE12" s="484">
        <f t="shared" si="36"/>
        <v>0</v>
      </c>
      <c r="AF12" s="152"/>
      <c r="AG12" s="589">
        <f t="shared" si="3"/>
        <v>0.05</v>
      </c>
      <c r="AH12" s="484">
        <f t="shared" si="4"/>
        <v>0.05</v>
      </c>
      <c r="AI12" s="484">
        <f t="shared" si="5"/>
        <v>0.05</v>
      </c>
      <c r="AJ12" s="484">
        <f t="shared" si="37"/>
        <v>0.15000000000000002</v>
      </c>
      <c r="AK12" s="152"/>
      <c r="AL12" s="589">
        <f t="shared" si="6"/>
        <v>0.03</v>
      </c>
      <c r="AM12" s="484">
        <f t="shared" si="7"/>
        <v>0.03</v>
      </c>
      <c r="AN12" s="484">
        <f t="shared" si="8"/>
        <v>0.03</v>
      </c>
      <c r="AO12" s="484">
        <f t="shared" si="38"/>
        <v>0.09</v>
      </c>
      <c r="AP12" s="152"/>
      <c r="AQ12" s="589">
        <f t="shared" si="9"/>
        <v>2.4999999999999998E-2</v>
      </c>
      <c r="AR12" s="484">
        <f t="shared" si="10"/>
        <v>2.4999999999999998E-2</v>
      </c>
      <c r="AS12" s="484">
        <f t="shared" si="11"/>
        <v>2.4999999999999998E-2</v>
      </c>
      <c r="AT12" s="484">
        <f t="shared" si="39"/>
        <v>7.4999999999999997E-2</v>
      </c>
      <c r="AU12" s="152"/>
      <c r="AV12" s="609"/>
      <c r="AW12" s="589">
        <f t="shared" si="12"/>
        <v>1.9999999999999997E-2</v>
      </c>
      <c r="AX12" s="484">
        <f t="shared" si="13"/>
        <v>1.9999999999999997E-2</v>
      </c>
      <c r="AY12" s="484">
        <f t="shared" si="14"/>
        <v>1.9999999999999997E-2</v>
      </c>
      <c r="AZ12" s="484">
        <f t="shared" si="40"/>
        <v>5.9999999999999991E-2</v>
      </c>
      <c r="BA12" s="152"/>
      <c r="BB12" s="589">
        <f t="shared" si="15"/>
        <v>1.4999999999999999E-2</v>
      </c>
      <c r="BC12" s="484">
        <f t="shared" si="16"/>
        <v>1.4999999999999999E-2</v>
      </c>
      <c r="BD12" s="484">
        <f t="shared" si="17"/>
        <v>1.4999999999999999E-2</v>
      </c>
      <c r="BE12" s="484">
        <f t="shared" si="41"/>
        <v>4.4999999999999998E-2</v>
      </c>
      <c r="BF12" s="152"/>
      <c r="BG12" s="589">
        <f t="shared" si="18"/>
        <v>9.9999999999999985E-3</v>
      </c>
      <c r="BH12" s="484">
        <f t="shared" si="19"/>
        <v>9.9999999999999985E-3</v>
      </c>
      <c r="BI12" s="484">
        <f t="shared" si="20"/>
        <v>9.9999999999999985E-3</v>
      </c>
      <c r="BJ12" s="484">
        <f t="shared" si="42"/>
        <v>2.9999999999999995E-2</v>
      </c>
      <c r="BK12" s="152"/>
      <c r="BL12" s="589">
        <f t="shared" si="21"/>
        <v>4.9999999999999975E-3</v>
      </c>
      <c r="BM12" s="484">
        <f t="shared" si="22"/>
        <v>4.9999999999999975E-3</v>
      </c>
      <c r="BN12" s="484">
        <f t="shared" si="23"/>
        <v>4.9999999999999975E-3</v>
      </c>
      <c r="BO12" s="484">
        <f t="shared" si="51"/>
        <v>1.4999999999999993E-2</v>
      </c>
      <c r="BP12" s="152"/>
      <c r="BQ12" s="293"/>
      <c r="BR12" s="589">
        <f t="shared" si="24"/>
        <v>0</v>
      </c>
      <c r="BS12" s="484">
        <f t="shared" si="25"/>
        <v>0</v>
      </c>
      <c r="BT12" s="484">
        <f t="shared" si="26"/>
        <v>0</v>
      </c>
      <c r="BU12" s="484">
        <f t="shared" si="52"/>
        <v>0</v>
      </c>
      <c r="BV12" s="152"/>
      <c r="BW12" s="589">
        <f t="shared" si="27"/>
        <v>0</v>
      </c>
      <c r="BX12" s="484">
        <f t="shared" si="28"/>
        <v>0</v>
      </c>
      <c r="BY12" s="484">
        <f t="shared" si="29"/>
        <v>0</v>
      </c>
      <c r="BZ12" s="484">
        <f t="shared" si="53"/>
        <v>0</v>
      </c>
      <c r="CA12" s="152"/>
      <c r="CB12" s="589">
        <f t="shared" si="30"/>
        <v>0</v>
      </c>
      <c r="CC12" s="484">
        <f t="shared" si="31"/>
        <v>0</v>
      </c>
      <c r="CD12" s="484">
        <f t="shared" si="32"/>
        <v>0</v>
      </c>
      <c r="CE12" s="484">
        <f t="shared" si="54"/>
        <v>0</v>
      </c>
      <c r="CF12" s="152"/>
      <c r="CG12" s="589">
        <f t="shared" si="33"/>
        <v>0</v>
      </c>
      <c r="CH12" s="484">
        <f t="shared" si="34"/>
        <v>0</v>
      </c>
      <c r="CI12" s="484">
        <f t="shared" si="35"/>
        <v>0</v>
      </c>
      <c r="CJ12" s="484">
        <f t="shared" si="55"/>
        <v>0</v>
      </c>
      <c r="CK12" s="152"/>
      <c r="CL12" s="153"/>
      <c r="CM12" s="153"/>
      <c r="CN12" s="153"/>
      <c r="CO12" s="153"/>
      <c r="CP12" s="153"/>
      <c r="CQ12" s="153"/>
      <c r="CR12" s="153"/>
      <c r="CS12" s="153"/>
      <c r="CT12" s="153"/>
      <c r="CU12" s="153"/>
      <c r="CV12" s="153"/>
      <c r="CW12" s="153"/>
      <c r="CX12" s="153"/>
      <c r="CY12" s="153"/>
      <c r="CZ12" s="153"/>
      <c r="DA12" s="153"/>
      <c r="DB12" s="153"/>
      <c r="DC12" s="153"/>
      <c r="DD12" s="153"/>
      <c r="DE12" s="153"/>
      <c r="DF12" s="153"/>
      <c r="DG12" s="153"/>
      <c r="DH12" s="153"/>
      <c r="DI12" s="153"/>
      <c r="DJ12" s="153"/>
      <c r="DK12" s="153"/>
      <c r="DL12" s="153"/>
      <c r="DM12" s="153"/>
      <c r="DN12" s="153"/>
      <c r="DO12" s="153"/>
      <c r="DP12" s="153"/>
      <c r="DQ12" s="153"/>
      <c r="DR12" s="153"/>
      <c r="DS12" s="153"/>
      <c r="DT12" s="153"/>
      <c r="DU12" s="153"/>
      <c r="DV12" s="153"/>
      <c r="DW12" s="153"/>
      <c r="DX12" s="153"/>
      <c r="DY12" s="153"/>
      <c r="DZ12" s="153"/>
      <c r="EA12" s="153"/>
      <c r="EB12" s="153"/>
      <c r="EC12" s="153"/>
      <c r="ED12" s="153"/>
      <c r="EE12" s="153"/>
      <c r="EF12" s="153"/>
      <c r="EG12" s="153"/>
      <c r="EH12" s="153"/>
      <c r="EI12" s="153"/>
      <c r="EJ12" s="153"/>
      <c r="EK12" s="153"/>
      <c r="EL12" s="153"/>
      <c r="EM12" s="153"/>
      <c r="EN12" s="153"/>
      <c r="EO12" s="153"/>
      <c r="EP12" s="153"/>
      <c r="EQ12" s="153"/>
      <c r="ER12" s="153"/>
      <c r="ES12" s="153"/>
      <c r="ET12" s="153"/>
      <c r="EU12" s="153"/>
      <c r="EV12" s="153"/>
      <c r="EW12" s="153"/>
      <c r="EX12" s="153"/>
      <c r="EY12" s="153"/>
      <c r="EZ12" s="153"/>
      <c r="FA12" s="153"/>
      <c r="FB12" s="153"/>
      <c r="FC12" s="153"/>
      <c r="FD12" s="153"/>
      <c r="FE12" s="153"/>
      <c r="FF12" s="153"/>
      <c r="FG12" s="153"/>
      <c r="FH12" s="153"/>
      <c r="FI12" s="153"/>
      <c r="FJ12" s="153"/>
      <c r="FK12" s="153"/>
      <c r="FL12" s="153"/>
      <c r="FM12" s="153"/>
      <c r="FN12" s="153"/>
      <c r="FO12" s="153"/>
      <c r="FP12" s="153"/>
      <c r="FQ12" s="153"/>
      <c r="FR12" s="153"/>
      <c r="FS12" s="153"/>
      <c r="FT12" s="153"/>
      <c r="FU12" s="153"/>
      <c r="FV12" s="153"/>
      <c r="FW12" s="153"/>
    </row>
    <row r="13" spans="1:179" s="144" customFormat="1" ht="9.75" customHeight="1" thickBot="1" x14ac:dyDescent="0.2">
      <c r="A13" s="512" t="s">
        <v>139</v>
      </c>
      <c r="B13" s="294">
        <v>0.01</v>
      </c>
      <c r="C13" s="375">
        <v>-3.0000000000000001E-3</v>
      </c>
      <c r="D13" s="627"/>
      <c r="E13" s="295"/>
      <c r="F13" s="156">
        <v>0</v>
      </c>
      <c r="G13" s="157">
        <v>0</v>
      </c>
      <c r="H13" s="485">
        <f t="shared" si="56"/>
        <v>0.01</v>
      </c>
      <c r="I13" s="485">
        <f t="shared" si="57"/>
        <v>7.0000000000000001E-3</v>
      </c>
      <c r="J13" s="158">
        <f t="shared" si="58"/>
        <v>5.2089128640242732E-2</v>
      </c>
      <c r="K13" s="485">
        <f t="shared" si="59"/>
        <v>4.0000000000000001E-3</v>
      </c>
      <c r="L13" s="485">
        <f t="shared" si="60"/>
        <v>9.9999999999999915E-4</v>
      </c>
      <c r="M13" s="485">
        <f t="shared" si="61"/>
        <v>0</v>
      </c>
      <c r="N13" s="485">
        <f t="shared" si="62"/>
        <v>0</v>
      </c>
      <c r="O13" s="158">
        <f t="shared" si="63"/>
        <v>1.5087245348239797E-2</v>
      </c>
      <c r="P13" s="485">
        <f t="shared" si="64"/>
        <v>0</v>
      </c>
      <c r="Q13" s="485">
        <f t="shared" si="65"/>
        <v>0</v>
      </c>
      <c r="R13" s="485">
        <f t="shared" si="66"/>
        <v>0</v>
      </c>
      <c r="S13" s="485">
        <f t="shared" si="67"/>
        <v>0</v>
      </c>
      <c r="T13" s="155">
        <f t="shared" si="68"/>
        <v>0</v>
      </c>
      <c r="U13" s="296"/>
      <c r="V13" s="160">
        <f>SUM(IF((12*(IF(ISBLANK(E13),C13,E13)))+(IF(ISBLANK(D13),B13,D13)) &lt; 0, 0, (12*(IF(ISBLANK(E13),C13,E13)))+(IF(ISBLANK(D13),B13,D13))))*12</f>
        <v>0</v>
      </c>
      <c r="W13" s="158">
        <f>SUM(IF((15*(IF(ISBLANK(E13),C13,E13)))+(IF(ISBLANK(D13),B13,D13)) &lt; 0, 0, (15*(IF(ISBLANK(E13),C13,E13)))+(IF(ISBLANK(D13),B13,D13))))*12</f>
        <v>0</v>
      </c>
      <c r="X13" s="159">
        <f>SUM(IF((18*(IF(ISBLANK(E13),C13,E13)))+(IF(ISBLANK(D13),B13,D13)) &lt; 0, 0, (18*(IF(ISBLANK(E13),C13,E13)))+(IF(ISBLANK(D13),B13,D13))))*12</f>
        <v>0</v>
      </c>
      <c r="Y13" s="161"/>
      <c r="Z13" s="572">
        <v>0</v>
      </c>
      <c r="AA13" s="610"/>
      <c r="AB13" s="590">
        <f t="shared" si="0"/>
        <v>0</v>
      </c>
      <c r="AC13" s="485">
        <f t="shared" si="1"/>
        <v>0</v>
      </c>
      <c r="AD13" s="485">
        <f t="shared" si="2"/>
        <v>0</v>
      </c>
      <c r="AE13" s="485">
        <f t="shared" si="36"/>
        <v>0</v>
      </c>
      <c r="AF13" s="162"/>
      <c r="AG13" s="590">
        <f t="shared" si="3"/>
        <v>0</v>
      </c>
      <c r="AH13" s="485">
        <f t="shared" si="4"/>
        <v>0</v>
      </c>
      <c r="AI13" s="485">
        <f t="shared" si="5"/>
        <v>0</v>
      </c>
      <c r="AJ13" s="485">
        <f t="shared" si="37"/>
        <v>0</v>
      </c>
      <c r="AK13" s="162"/>
      <c r="AL13" s="590">
        <f t="shared" si="6"/>
        <v>0.01</v>
      </c>
      <c r="AM13" s="485">
        <f t="shared" si="7"/>
        <v>0.01</v>
      </c>
      <c r="AN13" s="485">
        <f t="shared" si="8"/>
        <v>0.01</v>
      </c>
      <c r="AO13" s="485">
        <f t="shared" si="38"/>
        <v>0.03</v>
      </c>
      <c r="AP13" s="162"/>
      <c r="AQ13" s="590">
        <f t="shared" si="9"/>
        <v>7.0000000000000001E-3</v>
      </c>
      <c r="AR13" s="485">
        <f t="shared" si="10"/>
        <v>7.0000000000000001E-3</v>
      </c>
      <c r="AS13" s="485">
        <f t="shared" si="11"/>
        <v>7.0000000000000001E-3</v>
      </c>
      <c r="AT13" s="485">
        <f t="shared" si="39"/>
        <v>2.1000000000000001E-2</v>
      </c>
      <c r="AU13" s="162"/>
      <c r="AV13" s="610"/>
      <c r="AW13" s="590">
        <f t="shared" si="12"/>
        <v>4.0000000000000001E-3</v>
      </c>
      <c r="AX13" s="485">
        <f t="shared" si="13"/>
        <v>4.0000000000000001E-3</v>
      </c>
      <c r="AY13" s="485">
        <f t="shared" si="14"/>
        <v>4.0000000000000001E-3</v>
      </c>
      <c r="AZ13" s="485">
        <f t="shared" si="40"/>
        <v>1.2E-2</v>
      </c>
      <c r="BA13" s="162"/>
      <c r="BB13" s="590">
        <f t="shared" si="15"/>
        <v>9.9999999999999915E-4</v>
      </c>
      <c r="BC13" s="485">
        <f t="shared" si="16"/>
        <v>9.9999999999999915E-4</v>
      </c>
      <c r="BD13" s="485">
        <f t="shared" si="17"/>
        <v>9.9999999999999915E-4</v>
      </c>
      <c r="BE13" s="485">
        <f t="shared" si="41"/>
        <v>2.9999999999999975E-3</v>
      </c>
      <c r="BF13" s="162"/>
      <c r="BG13" s="590">
        <f t="shared" si="18"/>
        <v>0</v>
      </c>
      <c r="BH13" s="485">
        <f t="shared" si="19"/>
        <v>0</v>
      </c>
      <c r="BI13" s="485">
        <f t="shared" si="20"/>
        <v>0</v>
      </c>
      <c r="BJ13" s="485">
        <f t="shared" si="42"/>
        <v>0</v>
      </c>
      <c r="BK13" s="162"/>
      <c r="BL13" s="590">
        <f t="shared" si="21"/>
        <v>0</v>
      </c>
      <c r="BM13" s="485">
        <f t="shared" si="22"/>
        <v>0</v>
      </c>
      <c r="BN13" s="485">
        <f t="shared" si="23"/>
        <v>0</v>
      </c>
      <c r="BO13" s="485">
        <f t="shared" si="51"/>
        <v>0</v>
      </c>
      <c r="BP13" s="162"/>
      <c r="BQ13" s="296"/>
      <c r="BR13" s="590">
        <f t="shared" si="24"/>
        <v>0</v>
      </c>
      <c r="BS13" s="485">
        <f t="shared" si="25"/>
        <v>0</v>
      </c>
      <c r="BT13" s="485">
        <f t="shared" si="26"/>
        <v>0</v>
      </c>
      <c r="BU13" s="485">
        <f t="shared" si="52"/>
        <v>0</v>
      </c>
      <c r="BV13" s="162"/>
      <c r="BW13" s="590">
        <f t="shared" si="27"/>
        <v>0</v>
      </c>
      <c r="BX13" s="485">
        <f t="shared" si="28"/>
        <v>0</v>
      </c>
      <c r="BY13" s="485">
        <f t="shared" si="29"/>
        <v>0</v>
      </c>
      <c r="BZ13" s="485">
        <f t="shared" si="53"/>
        <v>0</v>
      </c>
      <c r="CA13" s="162"/>
      <c r="CB13" s="590">
        <f t="shared" si="30"/>
        <v>0</v>
      </c>
      <c r="CC13" s="485">
        <f t="shared" si="31"/>
        <v>0</v>
      </c>
      <c r="CD13" s="485">
        <f t="shared" si="32"/>
        <v>0</v>
      </c>
      <c r="CE13" s="485">
        <f t="shared" si="54"/>
        <v>0</v>
      </c>
      <c r="CF13" s="162"/>
      <c r="CG13" s="590">
        <f t="shared" si="33"/>
        <v>0</v>
      </c>
      <c r="CH13" s="485">
        <f t="shared" si="34"/>
        <v>0</v>
      </c>
      <c r="CI13" s="485">
        <f t="shared" si="35"/>
        <v>0</v>
      </c>
      <c r="CJ13" s="485">
        <f t="shared" si="55"/>
        <v>0</v>
      </c>
      <c r="CK13" s="162"/>
      <c r="CL13" s="153"/>
      <c r="CM13" s="153"/>
      <c r="CN13" s="153"/>
      <c r="CO13" s="153"/>
      <c r="CP13" s="153"/>
      <c r="CQ13" s="153"/>
      <c r="CR13" s="153"/>
      <c r="CS13" s="153"/>
      <c r="CT13" s="153"/>
      <c r="CU13" s="153"/>
      <c r="CV13" s="153"/>
      <c r="CW13" s="153"/>
      <c r="CX13" s="153"/>
      <c r="CY13" s="153"/>
      <c r="CZ13" s="153"/>
      <c r="DA13" s="153"/>
      <c r="DB13" s="153"/>
      <c r="DC13" s="153"/>
      <c r="DD13" s="153"/>
      <c r="DE13" s="153"/>
      <c r="DF13" s="153"/>
      <c r="DG13" s="153"/>
      <c r="DH13" s="153"/>
      <c r="DI13" s="153"/>
      <c r="DJ13" s="153"/>
      <c r="DK13" s="153"/>
      <c r="DL13" s="153"/>
      <c r="DM13" s="153"/>
      <c r="DN13" s="153"/>
      <c r="DO13" s="153"/>
      <c r="DP13" s="153"/>
      <c r="DQ13" s="153"/>
      <c r="DR13" s="153"/>
      <c r="DS13" s="153"/>
      <c r="DT13" s="153"/>
      <c r="DU13" s="153"/>
      <c r="DV13" s="153"/>
      <c r="DW13" s="153"/>
      <c r="DX13" s="153"/>
      <c r="DY13" s="153"/>
      <c r="DZ13" s="153"/>
      <c r="EA13" s="153"/>
      <c r="EB13" s="153"/>
      <c r="EC13" s="153"/>
      <c r="ED13" s="153"/>
      <c r="EE13" s="153"/>
      <c r="EF13" s="153"/>
      <c r="EG13" s="153"/>
      <c r="EH13" s="153"/>
      <c r="EI13" s="153"/>
      <c r="EJ13" s="153"/>
      <c r="EK13" s="153"/>
      <c r="EL13" s="153"/>
      <c r="EM13" s="153"/>
      <c r="EN13" s="153"/>
      <c r="EO13" s="153"/>
      <c r="EP13" s="153"/>
      <c r="EQ13" s="153"/>
      <c r="ER13" s="153"/>
      <c r="ES13" s="153"/>
      <c r="ET13" s="153"/>
      <c r="EU13" s="153"/>
      <c r="EV13" s="153"/>
      <c r="EW13" s="153"/>
      <c r="EX13" s="153"/>
      <c r="EY13" s="153"/>
      <c r="EZ13" s="153"/>
      <c r="FA13" s="153"/>
      <c r="FB13" s="153"/>
      <c r="FC13" s="153"/>
      <c r="FD13" s="153"/>
      <c r="FE13" s="153"/>
      <c r="FF13" s="153"/>
      <c r="FG13" s="153"/>
      <c r="FH13" s="153"/>
      <c r="FI13" s="153"/>
      <c r="FJ13" s="153"/>
      <c r="FK13" s="153"/>
      <c r="FL13" s="153"/>
      <c r="FM13" s="153"/>
      <c r="FN13" s="153"/>
      <c r="FO13" s="153"/>
      <c r="FP13" s="153"/>
      <c r="FQ13" s="153"/>
      <c r="FR13" s="153"/>
      <c r="FS13" s="153"/>
      <c r="FT13" s="153"/>
      <c r="FU13" s="153"/>
      <c r="FV13" s="153"/>
      <c r="FW13" s="153"/>
    </row>
    <row r="14" spans="1:179" s="144" customFormat="1" ht="9.75" customHeight="1" x14ac:dyDescent="0.15">
      <c r="A14" s="471" t="s">
        <v>140</v>
      </c>
      <c r="B14" s="373">
        <v>100000</v>
      </c>
      <c r="C14" s="297">
        <v>1000000</v>
      </c>
      <c r="D14" s="165"/>
      <c r="E14" s="298"/>
      <c r="F14" s="498">
        <f>SUM(IF(((1-(Z18/(IF(ISBLANK(D14),B14,(IF(D14=0,9.99999999999999E+29,D14))))))*SUM(F9:F13))&lt;0,0,((1-(Z18/(IF(ISBLANK(D14),B14,(IF(D14=0,9.99999999999999E+29,D14))))))*SUM(F9:F13))))</f>
        <v>9.8499999999999994E-3</v>
      </c>
      <c r="G14" s="499">
        <f>SUM(IF(((1-(F18/(IF(ISBLANK(D14),B14,(IF(D14=0,9.99999999999999E+29,D14))))))*SUM(G9:G13))&lt;0,0,((1-(F18/(IF(ISBLANK(D14),B14,(IF(D14=0,9.99999999999999E+29,D14))))))*SUM(G9:G13))))</f>
        <v>0.11746380531247959</v>
      </c>
      <c r="H14" s="499">
        <f>SUM(IF(((1-(G18/(IF(ISBLANK(D14),B14,(IF(D14=0,9.99999999999999E+29,D14))))))*SUM(H9:H13))&lt;0,0,((1-(G18/(IF(ISBLANK(D14),B14,(IF(D14=0,9.99999999999999E+29,D14))))))*SUM(H9:H13))))</f>
        <v>0.1235033039711091</v>
      </c>
      <c r="I14" s="499">
        <f>SUM(IF(((1-(H18/(IF(ISBLANK(D14),B14,(IF(D14=0,9.99999999999999E+29,D14))))))*SUM(I9:I13))&lt;0,0,((1-(H18/(IF(ISBLANK(D14),B14,(IF(D14=0,9.99999999999999E+29,D14))))))*SUM(I9:I13))))</f>
        <v>0.10425665909513229</v>
      </c>
      <c r="J14" s="500">
        <f>SUM(((1+F14)*(1+F14)*(1+F14)*(1+G14)*(1+G14)*(1+G14)*(1+H14)*(1+H14)*(1+H14)*(1+I14)*(1+I14)*(1+I14))-1)</f>
        <v>1.7441266248532967</v>
      </c>
      <c r="K14" s="499">
        <f>SUM(IF(((1-(I18/(IF(ISBLANK(E14),C14,(IF(E14=0,9.99999999999999E+29,E14))))))*SUM(K9:K13))&lt;0,0,((1-(I18/(IF(ISBLANK(E14),C14,(IF(E14=0,9.99999999999999E+29,E14))))))*SUM(K9:K13))))</f>
        <v>9.8758515629697244E-2</v>
      </c>
      <c r="L14" s="499">
        <f>SUM(IF(((1-(K18/(IF(ISBLANK(E14),C14,(IF(E14=0,9.99999999999999E+29,E14))))))*SUM(L9:L13))&lt;0,0,((1-(K18/(IF(ISBLANK(E14),C14,(IF(E14=0,9.99999999999999E+29,E14))))))*SUM(L9:L13))))</f>
        <v>8.36486741082203E-2</v>
      </c>
      <c r="M14" s="499">
        <f>SUM(IF(((1-(L18/(IF(ISBLANK(E14),C14,(IF(E14=0,9.99999999999999E+29,E14))))))*SUM(M9:M13))&lt;0,0,((1-(L18/(IF(ISBLANK(E14),C14,(IF(E14=0,9.99999999999999E+29,E14))))))*SUM(M9:M13))))</f>
        <v>7.0633214431625235E-2</v>
      </c>
      <c r="N14" s="499">
        <f>SUM(IF(((1-(M18/(IF(ISBLANK(E14),C14,(IF(E14=0,9.99999999999999E+29,E14))))))*SUM(N9:N13))&lt;0,0,((1-(M18/(IF(ISBLANK(E14),C14,(IF(E14=0,9.99999999999999E+29,E14))))))*SUM(N9:N13))))</f>
        <v>5.8691830483071597E-2</v>
      </c>
      <c r="O14" s="501">
        <f t="shared" si="63"/>
        <v>1.4581200915473755</v>
      </c>
      <c r="P14" s="499">
        <f>SUM(IF(((1-(N18/(IF(ISBLANK(E14),C14,(IF(E14=0,9.99999999999999E+29,E14))))))*SUM(P9:P13))&lt;0,0,((1-(N18/(IF(ISBLANK(E14),C14,(IF(E14=0,9.99999999999999E+29,E14))))))*SUM(P9:P13))))</f>
        <v>4.6822090313613576E-2</v>
      </c>
      <c r="Q14" s="499">
        <f>SUM(IF(((1-(P18/(IF(ISBLANK(E14),C14,(IF(E14=0,9.99999999999999E+29,E14))))))*SUM(Q9:Q13))&lt;0,0,((1-(P18/(IF(ISBLANK(E14),C14,(IF(E14=0,9.99999999999999E+29,E14))))))*SUM(Q9:Q13))))</f>
        <v>3.9882337342927253E-2</v>
      </c>
      <c r="R14" s="499">
        <f>SUM(IF(((1-(Q18/(IF(ISBLANK(E14),C14,(IF(E14=0,9.99999999999999E+29,E14))))))*SUM(R9:R13))&lt;0,0,((1-(Q18/(IF(ISBLANK(E14),C14,(IF(E14=0,9.99999999999999E+29,E14))))))*SUM(R9:R13))))</f>
        <v>3.4906606987376611E-2</v>
      </c>
      <c r="S14" s="499">
        <f>SUM(IF(((1-(R18/(IF(ISBLANK(E14),C14,(IF(E14=0,9.99999999999999E+29,E14))))))*SUM(S9:S13))&lt;0,0,((1-(R18/(IF(ISBLANK(E14),C14,(IF(E14=0,9.99999999999999E+29,E14))))))*SUM(S9:S13))))</f>
        <v>3.1877242833810368E-2</v>
      </c>
      <c r="T14" s="503">
        <f t="shared" si="68"/>
        <v>0.57093719774502527</v>
      </c>
      <c r="U14" s="537"/>
      <c r="V14" s="640">
        <f>SUM(IF(((1-(T18/(IF(ISBLANK(E14),C14,(IF(E14=0,9.99999999999999E+29,E14))))))*SUM(V9:V13))&lt;0,0,((1-(T18/(IF(ISBLANK(E14),C14,(IF(E14=0,9.99999999999999E+29,E14))))))*SUM(V9:V13))))</f>
        <v>0.27693940448429533</v>
      </c>
      <c r="W14" s="500">
        <f>SUM(IF(((1-(V18/(IF(ISBLANK(E14),C14,(IF(E14=0,9.99999999999999E+29,E14))))))*SUM(W9:W13))&lt;0,0,((1-(V18/(IF(ISBLANK(E14),C14,(IF(E14=0,9.99999999999999E+29,E14))))))*SUM(W9:W13))))</f>
        <v>0.16028901868128631</v>
      </c>
      <c r="X14" s="641">
        <f>SUM(IF(((1-(W18/(IF(ISBLANK(E14),C14,(IF(E14=0,9.99999999999999E+29,E14))))))*SUM(X9:X13))&lt;0,0,((1-(W18/(IF(ISBLANK(E14),C14,(IF(E14=0,9.99999999999999E+29,E14))))))*SUM(X9:X13))))</f>
        <v>0.11333934218497663</v>
      </c>
      <c r="Y14" s="537"/>
      <c r="Z14" s="573">
        <v>0</v>
      </c>
      <c r="AA14" s="611"/>
      <c r="AB14" s="591">
        <f t="shared" si="0"/>
        <v>9.8499999999999994E-3</v>
      </c>
      <c r="AC14" s="499">
        <f t="shared" si="1"/>
        <v>9.8499999999999994E-3</v>
      </c>
      <c r="AD14" s="499">
        <f t="shared" si="2"/>
        <v>9.8499999999999994E-3</v>
      </c>
      <c r="AE14" s="499">
        <f t="shared" si="36"/>
        <v>2.955E-2</v>
      </c>
      <c r="AF14" s="597"/>
      <c r="AG14" s="591">
        <f t="shared" si="3"/>
        <v>0.11746380531247959</v>
      </c>
      <c r="AH14" s="499">
        <f t="shared" si="4"/>
        <v>0.11746380531247959</v>
      </c>
      <c r="AI14" s="499">
        <f t="shared" si="5"/>
        <v>0.11746380531247959</v>
      </c>
      <c r="AJ14" s="499">
        <f t="shared" si="37"/>
        <v>0.35239141593743878</v>
      </c>
      <c r="AK14" s="597"/>
      <c r="AL14" s="591">
        <f t="shared" si="6"/>
        <v>0.1235033039711091</v>
      </c>
      <c r="AM14" s="499">
        <f t="shared" si="7"/>
        <v>0.1235033039711091</v>
      </c>
      <c r="AN14" s="499">
        <f t="shared" si="8"/>
        <v>0.1235033039711091</v>
      </c>
      <c r="AO14" s="499">
        <f t="shared" si="38"/>
        <v>0.37050991191332733</v>
      </c>
      <c r="AP14" s="597"/>
      <c r="AQ14" s="591">
        <f t="shared" si="9"/>
        <v>0.10425665909513229</v>
      </c>
      <c r="AR14" s="499">
        <f t="shared" si="10"/>
        <v>0.10425665909513229</v>
      </c>
      <c r="AS14" s="499">
        <f t="shared" si="11"/>
        <v>0.10425665909513229</v>
      </c>
      <c r="AT14" s="499">
        <f t="shared" si="39"/>
        <v>0.31276997728539691</v>
      </c>
      <c r="AU14" s="597"/>
      <c r="AV14" s="611"/>
      <c r="AW14" s="591">
        <f t="shared" si="12"/>
        <v>9.8758515629697244E-2</v>
      </c>
      <c r="AX14" s="499">
        <f t="shared" si="13"/>
        <v>9.8758515629697244E-2</v>
      </c>
      <c r="AY14" s="499">
        <f t="shared" si="14"/>
        <v>9.8758515629697244E-2</v>
      </c>
      <c r="AZ14" s="499">
        <f t="shared" si="40"/>
        <v>0.29627554688909175</v>
      </c>
      <c r="BA14" s="597"/>
      <c r="BB14" s="591">
        <f t="shared" si="15"/>
        <v>8.36486741082203E-2</v>
      </c>
      <c r="BC14" s="499">
        <f t="shared" si="16"/>
        <v>8.36486741082203E-2</v>
      </c>
      <c r="BD14" s="499">
        <f t="shared" si="17"/>
        <v>8.36486741082203E-2</v>
      </c>
      <c r="BE14" s="499">
        <f t="shared" si="41"/>
        <v>0.2509460223246609</v>
      </c>
      <c r="BF14" s="597"/>
      <c r="BG14" s="591">
        <f t="shared" si="18"/>
        <v>7.0633214431625235E-2</v>
      </c>
      <c r="BH14" s="499">
        <f t="shared" si="19"/>
        <v>7.0633214431625235E-2</v>
      </c>
      <c r="BI14" s="499">
        <f t="shared" si="20"/>
        <v>7.0633214431625235E-2</v>
      </c>
      <c r="BJ14" s="499">
        <f t="shared" si="42"/>
        <v>0.21189964329487571</v>
      </c>
      <c r="BK14" s="597"/>
      <c r="BL14" s="591">
        <f t="shared" si="21"/>
        <v>5.8691830483071597E-2</v>
      </c>
      <c r="BM14" s="499">
        <f t="shared" si="22"/>
        <v>5.8691830483071597E-2</v>
      </c>
      <c r="BN14" s="499">
        <f t="shared" si="23"/>
        <v>5.8691830483071597E-2</v>
      </c>
      <c r="BO14" s="499">
        <f t="shared" si="51"/>
        <v>0.1760754914492148</v>
      </c>
      <c r="BP14" s="597"/>
      <c r="BQ14" s="537"/>
      <c r="BR14" s="591">
        <f t="shared" si="24"/>
        <v>4.6822090313613576E-2</v>
      </c>
      <c r="BS14" s="499">
        <f t="shared" si="25"/>
        <v>4.6822090313613576E-2</v>
      </c>
      <c r="BT14" s="499">
        <f t="shared" si="26"/>
        <v>4.6822090313613576E-2</v>
      </c>
      <c r="BU14" s="499">
        <f t="shared" si="52"/>
        <v>0.14046627094084074</v>
      </c>
      <c r="BV14" s="597"/>
      <c r="BW14" s="591">
        <f t="shared" si="27"/>
        <v>3.9882337342927253E-2</v>
      </c>
      <c r="BX14" s="499">
        <f t="shared" si="28"/>
        <v>3.9882337342927253E-2</v>
      </c>
      <c r="BY14" s="499">
        <f t="shared" si="29"/>
        <v>3.9882337342927253E-2</v>
      </c>
      <c r="BZ14" s="499">
        <f t="shared" si="53"/>
        <v>0.11964701202878175</v>
      </c>
      <c r="CA14" s="597"/>
      <c r="CB14" s="591">
        <f t="shared" si="30"/>
        <v>3.4906606987376611E-2</v>
      </c>
      <c r="CC14" s="499">
        <f t="shared" si="31"/>
        <v>3.4906606987376611E-2</v>
      </c>
      <c r="CD14" s="499">
        <f t="shared" si="32"/>
        <v>3.4906606987376611E-2</v>
      </c>
      <c r="CE14" s="499">
        <f t="shared" si="54"/>
        <v>0.10471982096212984</v>
      </c>
      <c r="CF14" s="597"/>
      <c r="CG14" s="591">
        <f t="shared" si="33"/>
        <v>3.1877242833810368E-2</v>
      </c>
      <c r="CH14" s="499">
        <f t="shared" si="34"/>
        <v>3.1877242833810368E-2</v>
      </c>
      <c r="CI14" s="499">
        <f t="shared" si="35"/>
        <v>3.1877242833810368E-2</v>
      </c>
      <c r="CJ14" s="499">
        <f t="shared" si="55"/>
        <v>9.5631728501431104E-2</v>
      </c>
      <c r="CK14" s="166"/>
      <c r="CL14" s="153"/>
      <c r="CM14" s="153"/>
      <c r="CN14" s="153"/>
      <c r="CO14" s="153"/>
      <c r="CP14" s="153"/>
      <c r="CQ14" s="153"/>
      <c r="CR14" s="153"/>
      <c r="CS14" s="153"/>
      <c r="CT14" s="153"/>
      <c r="CU14" s="153"/>
      <c r="CV14" s="153"/>
      <c r="CW14" s="153"/>
      <c r="CX14" s="153"/>
      <c r="CY14" s="153"/>
      <c r="CZ14" s="153"/>
      <c r="DA14" s="153"/>
      <c r="DB14" s="153"/>
      <c r="DC14" s="153"/>
      <c r="DD14" s="153"/>
      <c r="DE14" s="153"/>
      <c r="DF14" s="153"/>
      <c r="DG14" s="153"/>
      <c r="DH14" s="153"/>
      <c r="DI14" s="153"/>
      <c r="DJ14" s="153"/>
      <c r="DK14" s="153"/>
      <c r="DL14" s="153"/>
      <c r="DM14" s="153"/>
      <c r="DN14" s="153"/>
      <c r="DO14" s="153"/>
      <c r="DP14" s="153"/>
      <c r="DQ14" s="153"/>
      <c r="DR14" s="153"/>
      <c r="DS14" s="153"/>
      <c r="DT14" s="153"/>
      <c r="DU14" s="153"/>
      <c r="DV14" s="153"/>
      <c r="DW14" s="153"/>
      <c r="DX14" s="153"/>
      <c r="DY14" s="153"/>
      <c r="DZ14" s="153"/>
      <c r="EA14" s="153"/>
      <c r="EB14" s="153"/>
      <c r="EC14" s="153"/>
      <c r="ED14" s="153"/>
      <c r="EE14" s="153"/>
      <c r="EF14" s="153"/>
      <c r="EG14" s="153"/>
      <c r="EH14" s="153"/>
      <c r="EI14" s="153"/>
      <c r="EJ14" s="153"/>
      <c r="EK14" s="153"/>
      <c r="EL14" s="153"/>
      <c r="EM14" s="153"/>
      <c r="EN14" s="153"/>
      <c r="EO14" s="153"/>
      <c r="EP14" s="153"/>
      <c r="EQ14" s="153"/>
      <c r="ER14" s="153"/>
      <c r="ES14" s="153"/>
      <c r="ET14" s="153"/>
      <c r="EU14" s="153"/>
      <c r="EV14" s="153"/>
      <c r="EW14" s="153"/>
      <c r="EX14" s="153"/>
      <c r="EY14" s="153"/>
      <c r="EZ14" s="153"/>
      <c r="FA14" s="153"/>
      <c r="FB14" s="153"/>
      <c r="FC14" s="153"/>
      <c r="FD14" s="153"/>
      <c r="FE14" s="153"/>
      <c r="FF14" s="153"/>
      <c r="FG14" s="153"/>
      <c r="FH14" s="153"/>
      <c r="FI14" s="153"/>
      <c r="FJ14" s="153"/>
      <c r="FK14" s="153"/>
      <c r="FL14" s="153"/>
      <c r="FM14" s="153"/>
      <c r="FN14" s="153"/>
      <c r="FO14" s="153"/>
      <c r="FP14" s="153"/>
      <c r="FQ14" s="153"/>
      <c r="FR14" s="153"/>
      <c r="FS14" s="153"/>
      <c r="FT14" s="153"/>
      <c r="FU14" s="153"/>
      <c r="FV14" s="153"/>
      <c r="FW14" s="153"/>
    </row>
    <row r="15" spans="1:179" s="144" customFormat="1" ht="9.75" customHeight="1" x14ac:dyDescent="0.15">
      <c r="A15" s="472" t="s">
        <v>141</v>
      </c>
      <c r="B15" s="167">
        <v>0.25</v>
      </c>
      <c r="C15" s="285">
        <v>-0.01</v>
      </c>
      <c r="D15" s="626"/>
      <c r="E15" s="624"/>
      <c r="F15" s="622">
        <v>0.8</v>
      </c>
      <c r="G15" s="623">
        <v>0.5</v>
      </c>
      <c r="H15" s="502">
        <f>SUM(IF(     IF(ISBLANK(D15),B15,D15)   &gt;   0,   (     IF(ISBLANK(D15),B15,D15)   ),0))</f>
        <v>0.25</v>
      </c>
      <c r="I15" s="502">
        <f>SUM(IF(     IF(ISBLANK(D15),B15,D15)     +   (1* (IF(ISBLANK(E15),C15,E15))) &gt;   0,   (     IF(ISBLANK(D15),B15,D15)    +  (1* (IF(ISBLANK(E15),C15,E15)) )  ),0))</f>
        <v>0.24</v>
      </c>
      <c r="J15" s="500">
        <f>SUM(((1+F15)*(1+F15)*(1+F15)*(1+G15)*(1+G15)*(1+G15)*(1+H15)*(1+H15)*(1+H15)*(1+I15)*(1+I15)*(1+I15))-1)</f>
        <v>72.297031625000017</v>
      </c>
      <c r="K15" s="502">
        <f>SUM(IF(     IF(ISBLANK(D15),B15,D15)    +   (2* (IF(ISBLANK(E15),C15,E15))) &gt;   0,   (     IF(ISBLANK(D15),B15,D15)    +  (2* (IF(ISBLANK(E15),C15,E15)) )  ),0))</f>
        <v>0.23</v>
      </c>
      <c r="L15" s="502">
        <f>SUM(IF(     IF(ISBLANK(D15),B15,D15)    +   (3* (IF(ISBLANK(E15),C15,E15))) &gt;   0,   (     IF(ISBLANK(D15),B15,D15)    +  (3* (IF(ISBLANK(E15),C15,E15)) )  ),0))</f>
        <v>0.22</v>
      </c>
      <c r="M15" s="502">
        <f>SUM(IF(     IF(ISBLANK(D15),B15,D15)     +   (4* (IF(ISBLANK(E15),C15,E15))) &gt;   0,   (     IF(ISBLANK(D15),B15,D15)   +  (4* (IF(ISBLANK(E15),C15,E15)) )  ),0))</f>
        <v>0.21</v>
      </c>
      <c r="N15" s="502">
        <f>SUM(IF(     IF(ISBLANK(D15),B15,D15)     +  (5* (IF(ISBLANK(E15),C15,E15))) &gt;   0,   (     IF(ISBLANK(D15),B15,D15)   +  (5* (IF(ISBLANK(E15),C15,E15)) )  ),0))</f>
        <v>0.2</v>
      </c>
      <c r="O15" s="500">
        <f t="shared" si="63"/>
        <v>9.3441468044006282</v>
      </c>
      <c r="P15" s="502">
        <f>SUM(IF(     IF(ISBLANK(D15),B15,D15)     +   (6* (IF(ISBLANK(E15),C15,E15))) &gt;   0,   (     IF(ISBLANK(D15),B15,D15)    +  (6* (IF(ISBLANK(E15),C15,E15)) )  ),0))</f>
        <v>0.19</v>
      </c>
      <c r="Q15" s="502">
        <f>SUM(IF(     IF(ISBLANK(D15),B15,D15)     +   (7* (IF(ISBLANK(E15),C15,E15))) &gt;   0,   (     IF(ISBLANK(D15),B15,D15)    +  (7* (IF(ISBLANK(E15),C15,E15)) )  ),0))</f>
        <v>0.18</v>
      </c>
      <c r="R15" s="502">
        <f>SUM(IF(     IF(ISBLANK(D15),B15,D15)     +   (8* (IF(ISBLANK(E15),C15,E15))) &gt;   0,   (     IF(ISBLANK(D15),B15,D15)    +  (8* (IF(ISBLANK(E15),C15,E15)) )  ),0))</f>
        <v>0.16999999999999998</v>
      </c>
      <c r="S15" s="502">
        <f>SUM(IF(     IF(ISBLANK(D15),B15,D15)     +   (9* (IF(ISBLANK(E15),C15,E15))) &gt;   0,   (     IF(ISBLANK(D15),B15,D15)   +  (9* (IF(ISBLANK(E15),C15,E15)) )  ),0))</f>
        <v>0.16</v>
      </c>
      <c r="T15" s="503">
        <f t="shared" si="68"/>
        <v>5.9217906360190113</v>
      </c>
      <c r="U15" s="538"/>
      <c r="V15" s="642">
        <v>0.2</v>
      </c>
      <c r="W15" s="506">
        <v>0.2</v>
      </c>
      <c r="X15" s="643">
        <v>0.2</v>
      </c>
      <c r="Y15" s="538"/>
      <c r="Z15" s="574">
        <v>0.7</v>
      </c>
      <c r="AA15" s="612"/>
      <c r="AB15" s="592">
        <f t="shared" si="0"/>
        <v>0.8</v>
      </c>
      <c r="AC15" s="502">
        <f t="shared" si="1"/>
        <v>0.8</v>
      </c>
      <c r="AD15" s="502">
        <f t="shared" si="2"/>
        <v>0.8</v>
      </c>
      <c r="AE15" s="502">
        <f t="shared" si="36"/>
        <v>2.4000000000000004</v>
      </c>
      <c r="AF15" s="598"/>
      <c r="AG15" s="592">
        <f t="shared" si="3"/>
        <v>0.5</v>
      </c>
      <c r="AH15" s="502">
        <f t="shared" si="4"/>
        <v>0.5</v>
      </c>
      <c r="AI15" s="502">
        <f t="shared" si="5"/>
        <v>0.5</v>
      </c>
      <c r="AJ15" s="502">
        <f t="shared" si="37"/>
        <v>1.5</v>
      </c>
      <c r="AK15" s="598"/>
      <c r="AL15" s="592">
        <f t="shared" si="6"/>
        <v>0.25</v>
      </c>
      <c r="AM15" s="502">
        <f t="shared" si="7"/>
        <v>0.25</v>
      </c>
      <c r="AN15" s="502">
        <f t="shared" si="8"/>
        <v>0.25</v>
      </c>
      <c r="AO15" s="502">
        <f t="shared" si="38"/>
        <v>0.75</v>
      </c>
      <c r="AP15" s="598"/>
      <c r="AQ15" s="592">
        <f t="shared" si="9"/>
        <v>0.24</v>
      </c>
      <c r="AR15" s="502">
        <f t="shared" si="10"/>
        <v>0.24</v>
      </c>
      <c r="AS15" s="502">
        <f t="shared" si="11"/>
        <v>0.24</v>
      </c>
      <c r="AT15" s="502">
        <f t="shared" si="39"/>
        <v>0.72</v>
      </c>
      <c r="AU15" s="598"/>
      <c r="AV15" s="612"/>
      <c r="AW15" s="592">
        <f t="shared" si="12"/>
        <v>0.23</v>
      </c>
      <c r="AX15" s="502">
        <f t="shared" si="13"/>
        <v>0.23</v>
      </c>
      <c r="AY15" s="502">
        <f t="shared" si="14"/>
        <v>0.23</v>
      </c>
      <c r="AZ15" s="502">
        <f t="shared" si="40"/>
        <v>0.69000000000000006</v>
      </c>
      <c r="BA15" s="598"/>
      <c r="BB15" s="592">
        <f t="shared" si="15"/>
        <v>0.22</v>
      </c>
      <c r="BC15" s="502">
        <f t="shared" si="16"/>
        <v>0.22</v>
      </c>
      <c r="BD15" s="502">
        <f t="shared" si="17"/>
        <v>0.22</v>
      </c>
      <c r="BE15" s="502">
        <f t="shared" si="41"/>
        <v>0.66</v>
      </c>
      <c r="BF15" s="598"/>
      <c r="BG15" s="592">
        <f t="shared" si="18"/>
        <v>0.21</v>
      </c>
      <c r="BH15" s="502">
        <f t="shared" si="19"/>
        <v>0.21</v>
      </c>
      <c r="BI15" s="502">
        <f t="shared" si="20"/>
        <v>0.21</v>
      </c>
      <c r="BJ15" s="502">
        <f t="shared" si="42"/>
        <v>0.63</v>
      </c>
      <c r="BK15" s="598"/>
      <c r="BL15" s="592">
        <f t="shared" si="21"/>
        <v>0.2</v>
      </c>
      <c r="BM15" s="502">
        <f t="shared" si="22"/>
        <v>0.2</v>
      </c>
      <c r="BN15" s="502">
        <f t="shared" si="23"/>
        <v>0.2</v>
      </c>
      <c r="BO15" s="502">
        <f t="shared" si="51"/>
        <v>0.60000000000000009</v>
      </c>
      <c r="BP15" s="598"/>
      <c r="BQ15" s="538"/>
      <c r="BR15" s="592">
        <f t="shared" si="24"/>
        <v>0.19</v>
      </c>
      <c r="BS15" s="502">
        <f t="shared" si="25"/>
        <v>0.19</v>
      </c>
      <c r="BT15" s="502">
        <f t="shared" si="26"/>
        <v>0.19</v>
      </c>
      <c r="BU15" s="502">
        <f t="shared" si="52"/>
        <v>0.57000000000000006</v>
      </c>
      <c r="BV15" s="598"/>
      <c r="BW15" s="592">
        <f t="shared" si="27"/>
        <v>0.18</v>
      </c>
      <c r="BX15" s="502">
        <f t="shared" si="28"/>
        <v>0.18</v>
      </c>
      <c r="BY15" s="502">
        <f t="shared" si="29"/>
        <v>0.18</v>
      </c>
      <c r="BZ15" s="502">
        <f t="shared" si="53"/>
        <v>0.54</v>
      </c>
      <c r="CA15" s="598"/>
      <c r="CB15" s="592">
        <f t="shared" si="30"/>
        <v>0.16999999999999998</v>
      </c>
      <c r="CC15" s="502">
        <f t="shared" si="31"/>
        <v>0.16999999999999998</v>
      </c>
      <c r="CD15" s="502">
        <f t="shared" si="32"/>
        <v>0.16999999999999998</v>
      </c>
      <c r="CE15" s="502">
        <f t="shared" si="54"/>
        <v>0.51</v>
      </c>
      <c r="CF15" s="598"/>
      <c r="CG15" s="592">
        <f t="shared" si="33"/>
        <v>0.16</v>
      </c>
      <c r="CH15" s="502">
        <f t="shared" si="34"/>
        <v>0.16</v>
      </c>
      <c r="CI15" s="502">
        <f t="shared" si="35"/>
        <v>0.16</v>
      </c>
      <c r="CJ15" s="502">
        <f t="shared" si="55"/>
        <v>0.48</v>
      </c>
      <c r="CK15" s="168"/>
      <c r="CL15" s="153"/>
      <c r="CM15" s="153"/>
      <c r="CN15" s="153"/>
      <c r="CO15" s="153"/>
      <c r="CP15" s="153"/>
      <c r="CQ15" s="153"/>
      <c r="CR15" s="153"/>
      <c r="CS15" s="153"/>
      <c r="CT15" s="153"/>
      <c r="CU15" s="153"/>
      <c r="CV15" s="153"/>
      <c r="CW15" s="153"/>
      <c r="CX15" s="153"/>
      <c r="CY15" s="153"/>
      <c r="CZ15" s="153"/>
      <c r="DA15" s="153"/>
      <c r="DB15" s="153"/>
      <c r="DC15" s="153"/>
      <c r="DD15" s="153"/>
      <c r="DE15" s="153"/>
      <c r="DF15" s="153"/>
      <c r="DG15" s="153"/>
      <c r="DH15" s="153"/>
      <c r="DI15" s="153"/>
      <c r="DJ15" s="153"/>
      <c r="DK15" s="153"/>
      <c r="DL15" s="153"/>
      <c r="DM15" s="153"/>
      <c r="DN15" s="153"/>
      <c r="DO15" s="153"/>
      <c r="DP15" s="153"/>
      <c r="DQ15" s="153"/>
      <c r="DR15" s="153"/>
      <c r="DS15" s="153"/>
      <c r="DT15" s="153"/>
      <c r="DU15" s="153"/>
      <c r="DV15" s="153"/>
      <c r="DW15" s="153"/>
      <c r="DX15" s="153"/>
      <c r="DY15" s="153"/>
      <c r="DZ15" s="153"/>
      <c r="EA15" s="153"/>
      <c r="EB15" s="153"/>
      <c r="EC15" s="153"/>
      <c r="ED15" s="153"/>
      <c r="EE15" s="153"/>
      <c r="EF15" s="153"/>
      <c r="EG15" s="153"/>
      <c r="EH15" s="153"/>
      <c r="EI15" s="153"/>
      <c r="EJ15" s="153"/>
      <c r="EK15" s="153"/>
      <c r="EL15" s="153"/>
      <c r="EM15" s="153"/>
      <c r="EN15" s="153"/>
      <c r="EO15" s="153"/>
      <c r="EP15" s="153"/>
      <c r="EQ15" s="153"/>
      <c r="ER15" s="153"/>
      <c r="ES15" s="153"/>
      <c r="ET15" s="153"/>
      <c r="EU15" s="153"/>
      <c r="EV15" s="153"/>
      <c r="EW15" s="153"/>
      <c r="EX15" s="153"/>
      <c r="EY15" s="153"/>
      <c r="EZ15" s="153"/>
      <c r="FA15" s="153"/>
      <c r="FB15" s="153"/>
      <c r="FC15" s="153"/>
      <c r="FD15" s="153"/>
      <c r="FE15" s="153"/>
      <c r="FF15" s="153"/>
      <c r="FG15" s="153"/>
      <c r="FH15" s="153"/>
      <c r="FI15" s="153"/>
      <c r="FJ15" s="153"/>
      <c r="FK15" s="153"/>
      <c r="FL15" s="153"/>
      <c r="FM15" s="153"/>
      <c r="FN15" s="153"/>
      <c r="FO15" s="153"/>
      <c r="FP15" s="153"/>
      <c r="FQ15" s="153"/>
      <c r="FR15" s="153"/>
      <c r="FS15" s="153"/>
      <c r="FT15" s="153"/>
      <c r="FU15" s="153"/>
      <c r="FV15" s="153"/>
      <c r="FW15" s="153"/>
    </row>
    <row r="16" spans="1:179" s="175" customFormat="1" ht="9.75" customHeight="1" x14ac:dyDescent="0.15">
      <c r="A16" s="473" t="s">
        <v>142</v>
      </c>
      <c r="B16" s="169"/>
      <c r="C16" s="170"/>
      <c r="D16" s="628"/>
      <c r="E16" s="629"/>
      <c r="F16" s="504">
        <f>SUM((F18/Z18)-1)/3</f>
        <v>0.13633234954081938</v>
      </c>
      <c r="G16" s="504">
        <f>SUM((G18/F18)-1)/3</f>
        <v>0.45484882134945659</v>
      </c>
      <c r="H16" s="504">
        <f>SUM((H18/G18)-1)/3</f>
        <v>0.28978577142790723</v>
      </c>
      <c r="I16" s="504">
        <f>SUM((I18/H18)-1)/3</f>
        <v>0.10964092035879165</v>
      </c>
      <c r="J16" s="505" t="s">
        <v>38</v>
      </c>
      <c r="K16" s="502">
        <f>SUM((K18/I18)-1)/3</f>
        <v>9.3519984310387327E-2</v>
      </c>
      <c r="L16" s="502">
        <f>SUM((L18/K18)-1)/3</f>
        <v>6.4687185085777907E-2</v>
      </c>
      <c r="M16" s="502">
        <f>SUM((M18/L18)-1)/3</f>
        <v>4.9512241626589404E-2</v>
      </c>
      <c r="N16" s="502">
        <f>SUM((N18/M18)-1)/3</f>
        <v>4.1844116003205999E-2</v>
      </c>
      <c r="O16" s="506">
        <f>SUM(O18/J18)-1</f>
        <v>0.97664873759677695</v>
      </c>
      <c r="P16" s="502">
        <f>SUM((P18/N18)-1)/3</f>
        <v>3.6950604346546768E-2</v>
      </c>
      <c r="Q16" s="502">
        <f>SUM((Q18/P18)-1)/3</f>
        <v>3.8052774805041434E-2</v>
      </c>
      <c r="R16" s="502">
        <f>SUM((R18/Q18)-1)/3</f>
        <v>4.006884543154262E-2</v>
      </c>
      <c r="S16" s="502">
        <f>SUM((S18/R18)-1)/3</f>
        <v>4.2930843524033348E-2</v>
      </c>
      <c r="T16" s="507">
        <f>SUM(T18/O18)-1</f>
        <v>0.56500333366476041</v>
      </c>
      <c r="U16" s="538"/>
      <c r="V16" s="642">
        <f>SUM(V18/T18)-1</f>
        <v>1.8513446735451784</v>
      </c>
      <c r="W16" s="506">
        <f>SUM(W18/V18)-1</f>
        <v>0.94438935581520012</v>
      </c>
      <c r="X16" s="643">
        <f>SUM(X18/W18)-1</f>
        <v>0.45235879104160603</v>
      </c>
      <c r="Y16" s="173"/>
      <c r="Z16" s="574">
        <v>0</v>
      </c>
      <c r="AA16" s="613"/>
      <c r="AB16" s="592">
        <f>SUM((AB18/Z18)-1)</f>
        <v>0.32618333333333349</v>
      </c>
      <c r="AC16" s="502">
        <f t="shared" ref="AC16:AD16" si="69">SUM((AC18/AB18)-1)</f>
        <v>5.1613959231378237E-2</v>
      </c>
      <c r="AD16" s="502">
        <f t="shared" si="69"/>
        <v>1.0299586887017931E-2</v>
      </c>
      <c r="AE16" s="502">
        <f t="shared" si="36"/>
        <v>0.38809687945172966</v>
      </c>
      <c r="AF16" s="599"/>
      <c r="AG16" s="592">
        <f>SUM((AG18/AD18)-1)</f>
        <v>0.68270833700432076</v>
      </c>
      <c r="AH16" s="502">
        <f>SUM((AH18/AG18)-1)</f>
        <v>0.25051738225515208</v>
      </c>
      <c r="AI16" s="502">
        <f>SUM((AI18/AH18)-1)</f>
        <v>0.12369713395365323</v>
      </c>
      <c r="AJ16" s="502">
        <f t="shared" si="37"/>
        <v>1.0569228532131261</v>
      </c>
      <c r="AK16" s="599"/>
      <c r="AL16" s="592">
        <f>SUM((AL18/AI18)-1)</f>
        <v>0.32973775067988242</v>
      </c>
      <c r="AM16" s="502">
        <f>SUM((AM18/AL18)-1)</f>
        <v>0.21660437519775133</v>
      </c>
      <c r="AN16" s="502">
        <f>SUM((AN18/AM18)-1)</f>
        <v>0.15551862318354703</v>
      </c>
      <c r="AO16" s="502">
        <f t="shared" si="38"/>
        <v>0.70186074906118079</v>
      </c>
      <c r="AP16" s="599"/>
      <c r="AQ16" s="592">
        <f>SUM((AQ18/AN18)-1)</f>
        <v>0.12596631270369008</v>
      </c>
      <c r="AR16" s="502">
        <f>SUM((AR18/AQ18)-1)</f>
        <v>9.6687816809021498E-2</v>
      </c>
      <c r="AS16" s="502">
        <f>SUM((AS18/AR18)-1)</f>
        <v>7.6195876574709054E-2</v>
      </c>
      <c r="AT16" s="502">
        <f t="shared" si="39"/>
        <v>0.29885000608742063</v>
      </c>
      <c r="AU16" s="599"/>
      <c r="AV16" s="613"/>
      <c r="AW16" s="592">
        <f>SUM((AW18/AS18)-1)</f>
        <v>0.10694109639569405</v>
      </c>
      <c r="AX16" s="502">
        <f>SUM((AX18/AW18)-1)</f>
        <v>8.3930381180214786E-2</v>
      </c>
      <c r="AY16" s="502">
        <f>SUM((AY18/AX18)-1)</f>
        <v>6.7269295737394152E-2</v>
      </c>
      <c r="AZ16" s="502">
        <f t="shared" si="40"/>
        <v>0.25814077331330298</v>
      </c>
      <c r="BA16" s="599"/>
      <c r="BB16" s="592">
        <f>SUM((BB18/AY18)-1)</f>
        <v>7.4366258353579351E-2</v>
      </c>
      <c r="BC16" s="502">
        <f>SUM((BC18/BB18)-1)</f>
        <v>5.9780656667198562E-2</v>
      </c>
      <c r="BD16" s="502">
        <f>SUM((BD18/BC18)-1)</f>
        <v>4.8717142121001977E-2</v>
      </c>
      <c r="BE16" s="502">
        <f t="shared" si="41"/>
        <v>0.18286405714177989</v>
      </c>
      <c r="BF16" s="599"/>
      <c r="BG16" s="592">
        <f>SUM((BG18/BD18)-1)</f>
        <v>5.71004598372582E-2</v>
      </c>
      <c r="BH16" s="502">
        <f>SUM((BH18/BG18)-1)</f>
        <v>4.6488062546892639E-2</v>
      </c>
      <c r="BI16" s="502">
        <f>SUM((BI18/BH18)-1)</f>
        <v>3.8231846243002687E-2</v>
      </c>
      <c r="BJ16" s="502">
        <f t="shared" si="42"/>
        <v>0.14182036862715353</v>
      </c>
      <c r="BK16" s="599"/>
      <c r="BL16" s="592">
        <f>SUM((BL18/BI18)-1)</f>
        <v>4.8355256174429595E-2</v>
      </c>
      <c r="BM16" s="502">
        <f>SUM((BM18/BL18)-1)</f>
        <v>3.960705418640087E-2</v>
      </c>
      <c r="BN16" s="502">
        <f>SUM((BN18/BM18)-1)</f>
        <v>3.2714527784711178E-2</v>
      </c>
      <c r="BO16" s="502">
        <f>SUM(BL16:BN16)</f>
        <v>0.12067683814554164</v>
      </c>
      <c r="BP16" s="599"/>
      <c r="BQ16" s="173"/>
      <c r="BR16" s="592">
        <f>SUM((BR18/BN18)-1)</f>
        <v>4.2783967498896569E-2</v>
      </c>
      <c r="BS16" s="502">
        <f>SUM((BS18/BR18)-1)</f>
        <v>3.5154211808835711E-2</v>
      </c>
      <c r="BT16" s="502">
        <f>SUM((BT18/BS18)-1)</f>
        <v>2.9097988398019137E-2</v>
      </c>
      <c r="BU16" s="502">
        <f>SUM(BR16:BT16)</f>
        <v>0.10703616770575142</v>
      </c>
      <c r="BV16" s="599"/>
      <c r="BW16" s="592">
        <f>SUM((BW18/BT18)-1)</f>
        <v>4.3919210577719747E-2</v>
      </c>
      <c r="BX16" s="502">
        <f>SUM((BX18/BW18)-1)</f>
        <v>3.617650969841435E-2</v>
      </c>
      <c r="BY16" s="502">
        <f>SUM((BY18/BX18)-1)</f>
        <v>3.0021469725689531E-2</v>
      </c>
      <c r="BZ16" s="502">
        <f>SUM(BW16:BY16)</f>
        <v>0.11011719000182363</v>
      </c>
      <c r="CA16" s="599"/>
      <c r="CB16" s="592">
        <f>SUM((CB18/BY18)-1)</f>
        <v>4.6003794221807226E-2</v>
      </c>
      <c r="CC16" s="502">
        <f>SUM((CC18/CB18)-1)</f>
        <v>3.8039045162862495E-2</v>
      </c>
      <c r="CD16" s="502">
        <f>SUM((CD18/CC18)-1)</f>
        <v>3.1694589561117148E-2</v>
      </c>
      <c r="CE16" s="502">
        <f t="shared" si="54"/>
        <v>0.11573742894578687</v>
      </c>
      <c r="CF16" s="599"/>
      <c r="CG16" s="592">
        <f>SUM((CG18/CD18)-1)</f>
        <v>4.8932455340912506E-2</v>
      </c>
      <c r="CH16" s="502">
        <f>SUM((CH18/CG18)-1)</f>
        <v>4.0672870813075912E-2</v>
      </c>
      <c r="CI16" s="502">
        <f>SUM((CI18/CH18)-1)</f>
        <v>3.407579024802887E-2</v>
      </c>
      <c r="CJ16" s="502">
        <f t="shared" si="55"/>
        <v>0.12368111640201729</v>
      </c>
      <c r="CK16" s="152"/>
      <c r="CL16" s="174"/>
      <c r="CM16" s="174"/>
      <c r="CN16" s="174"/>
      <c r="CO16" s="174"/>
      <c r="CP16" s="174"/>
      <c r="CQ16" s="174"/>
      <c r="CR16" s="174"/>
      <c r="CS16" s="174"/>
      <c r="CT16" s="174"/>
      <c r="CU16" s="174"/>
      <c r="CV16" s="174"/>
      <c r="CW16" s="174"/>
      <c r="CX16" s="174"/>
      <c r="CY16" s="174"/>
      <c r="CZ16" s="174"/>
      <c r="DA16" s="174"/>
      <c r="DB16" s="174"/>
      <c r="DC16" s="174"/>
      <c r="DD16" s="174"/>
      <c r="DE16" s="174"/>
      <c r="DF16" s="174"/>
      <c r="DG16" s="174"/>
      <c r="DH16" s="174"/>
      <c r="DI16" s="174"/>
      <c r="DJ16" s="174"/>
      <c r="DK16" s="174"/>
      <c r="DL16" s="174"/>
      <c r="DM16" s="174"/>
      <c r="DN16" s="174"/>
      <c r="DO16" s="174"/>
      <c r="DP16" s="174"/>
      <c r="DQ16" s="174"/>
      <c r="DR16" s="174"/>
      <c r="DS16" s="174"/>
      <c r="DT16" s="174"/>
      <c r="DU16" s="174"/>
      <c r="DV16" s="174"/>
      <c r="DW16" s="174"/>
      <c r="DX16" s="174"/>
      <c r="DY16" s="174"/>
      <c r="DZ16" s="174"/>
      <c r="EA16" s="174"/>
      <c r="EB16" s="174"/>
      <c r="EC16" s="174"/>
      <c r="ED16" s="174"/>
      <c r="EE16" s="174"/>
      <c r="EF16" s="174"/>
      <c r="EG16" s="174"/>
      <c r="EH16" s="174"/>
      <c r="EI16" s="174"/>
      <c r="EJ16" s="174"/>
      <c r="EK16" s="174"/>
      <c r="EL16" s="174"/>
      <c r="EM16" s="174"/>
      <c r="EN16" s="174"/>
      <c r="EO16" s="174"/>
      <c r="EP16" s="174"/>
      <c r="EQ16" s="174"/>
      <c r="ER16" s="174"/>
      <c r="ES16" s="174"/>
      <c r="ET16" s="174"/>
      <c r="EU16" s="174"/>
      <c r="EV16" s="174"/>
      <c r="EW16" s="174"/>
      <c r="EX16" s="174"/>
      <c r="EY16" s="174"/>
      <c r="EZ16" s="174"/>
      <c r="FA16" s="174"/>
      <c r="FB16" s="174"/>
      <c r="FC16" s="174"/>
      <c r="FD16" s="174"/>
      <c r="FE16" s="174"/>
      <c r="FF16" s="174"/>
      <c r="FG16" s="174"/>
      <c r="FH16" s="174"/>
      <c r="FI16" s="174"/>
      <c r="FJ16" s="174"/>
      <c r="FK16" s="174"/>
      <c r="FL16" s="174"/>
      <c r="FM16" s="174"/>
      <c r="FN16" s="174"/>
      <c r="FO16" s="174"/>
      <c r="FP16" s="174"/>
      <c r="FQ16" s="174"/>
      <c r="FR16" s="174"/>
      <c r="FS16" s="174"/>
      <c r="FT16" s="174"/>
      <c r="FU16" s="174"/>
      <c r="FV16" s="174"/>
      <c r="FW16" s="174"/>
    </row>
    <row r="17" spans="1:179" s="175" customFormat="1" ht="9.75" customHeight="1" x14ac:dyDescent="0.15">
      <c r="A17" s="405" t="s">
        <v>143</v>
      </c>
      <c r="B17" s="176"/>
      <c r="C17" s="177"/>
      <c r="D17" s="634"/>
      <c r="E17" s="635"/>
      <c r="F17" s="423">
        <f>AE17</f>
        <v>613.4955729336873</v>
      </c>
      <c r="G17" s="424">
        <f>AJ17</f>
        <v>2883.9629108285462</v>
      </c>
      <c r="H17" s="424">
        <f>AO17</f>
        <v>4344.5770856879353</v>
      </c>
      <c r="I17" s="424">
        <f>AT17</f>
        <v>3072.8081335772563</v>
      </c>
      <c r="J17" s="180">
        <f>SUM(J18-Z18)</f>
        <v>10914.843703027424</v>
      </c>
      <c r="K17" s="424">
        <f>AZ17</f>
        <v>3483.1079649691078</v>
      </c>
      <c r="L17" s="424">
        <f>BE17</f>
        <v>3085.181226097332</v>
      </c>
      <c r="M17" s="424">
        <f>BJ17</f>
        <v>2819.692388046099</v>
      </c>
      <c r="N17" s="424">
        <f>BO17</f>
        <v>2736.9598509104917</v>
      </c>
      <c r="O17" s="180">
        <f>SUM(O18-J18)</f>
        <v>12124.941430023029</v>
      </c>
      <c r="P17" s="424">
        <f>BU17</f>
        <v>2720.2796736018572</v>
      </c>
      <c r="Q17" s="424">
        <f>BZ17</f>
        <v>3111.9633217751252</v>
      </c>
      <c r="R17" s="424">
        <f>CE17</f>
        <v>3650.9163015612685</v>
      </c>
      <c r="S17" s="424">
        <f>CJ17</f>
        <v>4381.9011106521775</v>
      </c>
      <c r="T17" s="181">
        <f>SUM(T18-O18)</f>
        <v>13865.06040759043</v>
      </c>
      <c r="U17" s="184"/>
      <c r="V17" s="182">
        <f>SUM((V8+(T18*V14))-(T18*V15))</f>
        <v>71100.606229990794</v>
      </c>
      <c r="W17" s="180">
        <f>SUM((W8+(V18*W14))-(V18*W15))</f>
        <v>103415.78305591932</v>
      </c>
      <c r="X17" s="183">
        <f>SUM((X8+(W18*X14))-(W18*X15))</f>
        <v>96316.792373224525</v>
      </c>
      <c r="Y17" s="184"/>
      <c r="Z17" s="575">
        <v>1500</v>
      </c>
      <c r="AA17" s="614"/>
      <c r="AB17" s="533">
        <f>SUM((AB8+(Z18*AB14))-(Z18*AB15))</f>
        <v>489.27500000000009</v>
      </c>
      <c r="AC17" s="424">
        <f>SUM((AC8+(AB18*AC14))-(AB18*AC15))</f>
        <v>102.67435875000001</v>
      </c>
      <c r="AD17" s="424">
        <f>SUM((AD8+(AC18*AD14))-(AC18*AD15))</f>
        <v>21.546214183687198</v>
      </c>
      <c r="AE17" s="180">
        <f t="shared" si="36"/>
        <v>613.4955729336873</v>
      </c>
      <c r="AF17" s="183"/>
      <c r="AG17" s="533">
        <f>SUM((AG8+(AD18*AG14))-(AD18*AG15))</f>
        <v>1442.9010478635514</v>
      </c>
      <c r="AH17" s="424">
        <f>SUM((AH8+(AG18*AH14))-(AG18*AH15))</f>
        <v>890.93917170319287</v>
      </c>
      <c r="AI17" s="424">
        <f>SUM((AI8+(AH18*AI14))-(AH18*AI15))</f>
        <v>550.12269126180217</v>
      </c>
      <c r="AJ17" s="180">
        <f t="shared" si="37"/>
        <v>2883.9629108285462</v>
      </c>
      <c r="AK17" s="183"/>
      <c r="AL17" s="533">
        <f>SUM((AL8+(AI18*AL14))-(AI18*AL15))</f>
        <v>1647.8507195518546</v>
      </c>
      <c r="AM17" s="424">
        <f>SUM((AM8+(AL18*AM14))-(AL18*AM15))</f>
        <v>1439.4030479797148</v>
      </c>
      <c r="AN17" s="424">
        <f>SUM((AN8+(AM18*AN14))-(AM18*AN15))</f>
        <v>1257.323318156366</v>
      </c>
      <c r="AO17" s="180">
        <f t="shared" si="38"/>
        <v>4344.5770856879353</v>
      </c>
      <c r="AP17" s="183"/>
      <c r="AQ17" s="533">
        <f>SUM((AQ8+(AN18*AQ14))-(AN18*AQ15))</f>
        <v>1176.7817738303556</v>
      </c>
      <c r="AR17" s="424">
        <f>SUM((AR8+(AQ18*AR14))-(AQ18*AR15))</f>
        <v>1017.0414843346671</v>
      </c>
      <c r="AS17" s="424">
        <f>SUM((AS8+(AR18*AS14))-(AR18*AS15))</f>
        <v>878.98487541223358</v>
      </c>
      <c r="AT17" s="180">
        <f t="shared" si="39"/>
        <v>3072.8081335772563</v>
      </c>
      <c r="AU17" s="183"/>
      <c r="AV17" s="614"/>
      <c r="AW17" s="533">
        <f>SUM((AW8+(AS18*AW14))-(AS18*AW15))</f>
        <v>1327.6569971829326</v>
      </c>
      <c r="AX17" s="424">
        <f>SUM((AX8+(AW18*AX14))-(AW18*AX15))</f>
        <v>1153.4133221380262</v>
      </c>
      <c r="AY17" s="424">
        <f>SUM((AY8+(AX18*AY14))-(AX18*AY15))</f>
        <v>1002.037645648149</v>
      </c>
      <c r="AZ17" s="180">
        <f t="shared" si="40"/>
        <v>3483.1079649691078</v>
      </c>
      <c r="BA17" s="183"/>
      <c r="BB17" s="533">
        <f>SUM((BB8+(AY18*BB14))-(AY18*BB15))</f>
        <v>1182.2711810349456</v>
      </c>
      <c r="BC17" s="424">
        <f>SUM((BC8+(BB18*BC14))-(BB18*BC15))</f>
        <v>1021.0669379371911</v>
      </c>
      <c r="BD17" s="424">
        <f>SUM((BD8+(BC18*BD14))-(BC18*BD15))</f>
        <v>881.84310712519527</v>
      </c>
      <c r="BE17" s="180">
        <f t="shared" si="41"/>
        <v>3085.181226097332</v>
      </c>
      <c r="BF17" s="183"/>
      <c r="BG17" s="533">
        <f>SUM((BG8+(BD18*BG14))-(BD18*BG15))</f>
        <v>1083.9456174045399</v>
      </c>
      <c r="BH17" s="424">
        <f>SUM((BH8+(BG18*BH14))-(BG18*BH15))</f>
        <v>932.87960097594168</v>
      </c>
      <c r="BI17" s="424">
        <f>SUM((BI8+(BH18*BI14))-(BH18*BI15))</f>
        <v>802.86716966561744</v>
      </c>
      <c r="BJ17" s="180">
        <f t="shared" si="42"/>
        <v>2819.692388046099</v>
      </c>
      <c r="BK17" s="183"/>
      <c r="BL17" s="533">
        <f>SUM((BL8+(BI18*BL14))-(BI18*BL15))</f>
        <v>1054.2812018442082</v>
      </c>
      <c r="BM17" s="424">
        <f>SUM((BM8+(BL18*BM14))-(BL18*BM15))</f>
        <v>905.30265505549505</v>
      </c>
      <c r="BN17" s="424">
        <f>SUM((BN8+(BM18*BN14))-(BM18*BN15))</f>
        <v>777.37599401078842</v>
      </c>
      <c r="BO17" s="180">
        <f>SUM(BL17:BN17)</f>
        <v>2736.9598509104917</v>
      </c>
      <c r="BP17" s="183"/>
      <c r="BQ17" s="184"/>
      <c r="BR17" s="533">
        <f>SUM((BR8+(BN18*BR14))-(BN18*BR15))</f>
        <v>1049.909369562336</v>
      </c>
      <c r="BS17" s="424">
        <f>SUM((BS8+(BR18*BS14))-(BR18*BS15))</f>
        <v>899.58554066824945</v>
      </c>
      <c r="BT17" s="424">
        <f>SUM((BT8+(BS18*BT14))-(BS18*BT15))</f>
        <v>770.78476337127177</v>
      </c>
      <c r="BU17" s="180">
        <f>SUM(BR17:BT17)</f>
        <v>2720.2796736018572</v>
      </c>
      <c r="BV17" s="183"/>
      <c r="BW17" s="533">
        <f>SUM((BW8+(BT18*BW14))-(BT18*BW15))</f>
        <v>1197.2405266056512</v>
      </c>
      <c r="BX17" s="424">
        <f>SUM((BX8+(BW18*BX14))-(BW18*BX15))</f>
        <v>1029.485982379344</v>
      </c>
      <c r="BY17" s="424">
        <f>SUM((BY8+(BX18*BY14))-(BX18*BY15))</f>
        <v>885.23681279012999</v>
      </c>
      <c r="BZ17" s="180">
        <f>SUM(BW17:BY17)</f>
        <v>3111.9633217751252</v>
      </c>
      <c r="CA17" s="183"/>
      <c r="CB17" s="533">
        <f>SUM((CB8+(BY18*CB14))-(BY18*CB15))</f>
        <v>1397.2285321191157</v>
      </c>
      <c r="CC17" s="424">
        <f>SUM((CC8+(CB18*CC14))-(CB18*CC15))</f>
        <v>1208.4721889010971</v>
      </c>
      <c r="CD17" s="424">
        <f>SUM((CD8+(CC18*CD14))-(CC18*CD15))</f>
        <v>1045.2155805410557</v>
      </c>
      <c r="CE17" s="180">
        <f>SUM(CB17:CD17)</f>
        <v>3650.9163015612685</v>
      </c>
      <c r="CF17" s="183"/>
      <c r="CG17" s="533">
        <f>SUM((CG8+(CD18*CG14))-(CD18*CG15))</f>
        <v>1664.8262088867705</v>
      </c>
      <c r="CH17" s="424">
        <f>SUM((CH8+(CG18*CH14))-(CG18*CH15))</f>
        <v>1451.5240848016629</v>
      </c>
      <c r="CI17" s="424">
        <f>SUM((CI8+(CH18*CI14))-(CH18*CI15))</f>
        <v>1265.5508169637442</v>
      </c>
      <c r="CJ17" s="180">
        <f>SUM(CG17:CI17)</f>
        <v>4381.9011106521775</v>
      </c>
      <c r="CK17" s="183"/>
      <c r="CL17" s="174"/>
      <c r="CM17" s="174"/>
      <c r="CN17" s="174"/>
      <c r="CO17" s="174"/>
      <c r="CP17" s="174"/>
      <c r="CQ17" s="174"/>
      <c r="CR17" s="174"/>
      <c r="CS17" s="174"/>
      <c r="CT17" s="174"/>
      <c r="CU17" s="174"/>
      <c r="CV17" s="174"/>
      <c r="CW17" s="174"/>
      <c r="CX17" s="174"/>
      <c r="CY17" s="174"/>
      <c r="CZ17" s="174"/>
      <c r="DA17" s="174"/>
      <c r="DB17" s="174"/>
      <c r="DC17" s="174"/>
      <c r="DD17" s="174"/>
      <c r="DE17" s="174"/>
      <c r="DF17" s="174"/>
      <c r="DG17" s="174"/>
      <c r="DH17" s="174"/>
      <c r="DI17" s="174"/>
      <c r="DJ17" s="174"/>
      <c r="DK17" s="174"/>
      <c r="DL17" s="174"/>
      <c r="DM17" s="174"/>
      <c r="DN17" s="174"/>
      <c r="DO17" s="174"/>
      <c r="DP17" s="174"/>
      <c r="DQ17" s="174"/>
      <c r="DR17" s="174"/>
      <c r="DS17" s="174"/>
      <c r="DT17" s="174"/>
      <c r="DU17" s="174"/>
      <c r="DV17" s="174"/>
      <c r="DW17" s="174"/>
      <c r="DX17" s="174"/>
      <c r="DY17" s="174"/>
      <c r="DZ17" s="174"/>
      <c r="EA17" s="174"/>
      <c r="EB17" s="174"/>
      <c r="EC17" s="174"/>
      <c r="ED17" s="174"/>
      <c r="EE17" s="174"/>
      <c r="EF17" s="174"/>
      <c r="EG17" s="174"/>
      <c r="EH17" s="174"/>
      <c r="EI17" s="174"/>
      <c r="EJ17" s="174"/>
      <c r="EK17" s="174"/>
      <c r="EL17" s="174"/>
      <c r="EM17" s="174"/>
      <c r="EN17" s="174"/>
      <c r="EO17" s="174"/>
      <c r="EP17" s="174"/>
      <c r="EQ17" s="174"/>
      <c r="ER17" s="174"/>
      <c r="ES17" s="174"/>
      <c r="ET17" s="174"/>
      <c r="EU17" s="174"/>
      <c r="EV17" s="174"/>
      <c r="EW17" s="174"/>
      <c r="EX17" s="174"/>
      <c r="EY17" s="174"/>
      <c r="EZ17" s="174"/>
      <c r="FA17" s="174"/>
      <c r="FB17" s="174"/>
      <c r="FC17" s="174"/>
      <c r="FD17" s="174"/>
      <c r="FE17" s="174"/>
      <c r="FF17" s="174"/>
      <c r="FG17" s="174"/>
      <c r="FH17" s="174"/>
      <c r="FI17" s="174"/>
      <c r="FJ17" s="174"/>
      <c r="FK17" s="174"/>
      <c r="FL17" s="174"/>
      <c r="FM17" s="174"/>
      <c r="FN17" s="174"/>
      <c r="FO17" s="174"/>
      <c r="FP17" s="174"/>
      <c r="FQ17" s="174"/>
      <c r="FR17" s="174"/>
      <c r="FS17" s="174"/>
      <c r="FT17" s="174"/>
      <c r="FU17" s="174"/>
      <c r="FV17" s="174"/>
      <c r="FW17" s="174"/>
    </row>
    <row r="18" spans="1:179" s="57" customFormat="1" ht="9.75" customHeight="1" x14ac:dyDescent="0.15">
      <c r="A18" s="422" t="s">
        <v>217</v>
      </c>
      <c r="B18" s="185"/>
      <c r="C18" s="186"/>
      <c r="D18" s="636"/>
      <c r="E18" s="637"/>
      <c r="F18" s="423">
        <f>AE18</f>
        <v>2113.4955729336871</v>
      </c>
      <c r="G18" s="424">
        <f>AJ18</f>
        <v>4997.4584837622333</v>
      </c>
      <c r="H18" s="424">
        <f>AO18</f>
        <v>9342.0355694501686</v>
      </c>
      <c r="I18" s="424">
        <f>AT18</f>
        <v>12414.843703027424</v>
      </c>
      <c r="J18" s="180">
        <f>AS18</f>
        <v>12414.843703027424</v>
      </c>
      <c r="K18" s="424">
        <f>AZ18</f>
        <v>15897.951667996531</v>
      </c>
      <c r="L18" s="424">
        <f>BE18</f>
        <v>18983.132894093862</v>
      </c>
      <c r="M18" s="424">
        <f>BJ18</f>
        <v>21802.825282139962</v>
      </c>
      <c r="N18" s="424">
        <f>BO18</f>
        <v>24539.785133050453</v>
      </c>
      <c r="O18" s="180">
        <f>BN18</f>
        <v>24539.785133050453</v>
      </c>
      <c r="P18" s="424">
        <f>BU18</f>
        <v>27260.064806652306</v>
      </c>
      <c r="Q18" s="424">
        <f>BZ18</f>
        <v>30372.028128427432</v>
      </c>
      <c r="R18" s="424">
        <f>CE18</f>
        <v>34022.944429988704</v>
      </c>
      <c r="S18" s="424">
        <f>CJ18</f>
        <v>38404.845540640883</v>
      </c>
      <c r="T18" s="181">
        <f>CI18</f>
        <v>38404.845540640883</v>
      </c>
      <c r="U18" s="184"/>
      <c r="V18" s="182">
        <f>SUM(T18+V17)</f>
        <v>109505.45177063168</v>
      </c>
      <c r="W18" s="180">
        <f>SUM(V18+W17)</f>
        <v>212921.23482655099</v>
      </c>
      <c r="X18" s="183">
        <f>SUM(W18+X17)</f>
        <v>309238.0271997755</v>
      </c>
      <c r="Y18" s="184"/>
      <c r="Z18" s="576">
        <v>1500</v>
      </c>
      <c r="AA18" s="614"/>
      <c r="AB18" s="533">
        <f>SUM(Z18+AB17)</f>
        <v>1989.2750000000001</v>
      </c>
      <c r="AC18" s="424">
        <f>SUM(AB18+AC17)</f>
        <v>2091.9493587500001</v>
      </c>
      <c r="AD18" s="424">
        <f>SUM(AC18+AD17)</f>
        <v>2113.4955729336871</v>
      </c>
      <c r="AE18" s="180">
        <f>AD18</f>
        <v>2113.4955729336871</v>
      </c>
      <c r="AF18" s="183"/>
      <c r="AG18" s="533">
        <f>SUM(AD18+AG17)</f>
        <v>3556.3966207972385</v>
      </c>
      <c r="AH18" s="424">
        <f>SUM(AG18+AH17)</f>
        <v>4447.3357925004311</v>
      </c>
      <c r="AI18" s="424">
        <f>SUM(AH18+AI17)</f>
        <v>4997.4584837622333</v>
      </c>
      <c r="AJ18" s="180">
        <f>AI18</f>
        <v>4997.4584837622333</v>
      </c>
      <c r="AK18" s="183"/>
      <c r="AL18" s="533">
        <f>SUM(AI18+AL17)</f>
        <v>6645.3092033140874</v>
      </c>
      <c r="AM18" s="424">
        <f>SUM(AL18+AM17)</f>
        <v>8084.7122512938022</v>
      </c>
      <c r="AN18" s="424">
        <f>SUM(AM18+AN17)</f>
        <v>9342.0355694501686</v>
      </c>
      <c r="AO18" s="180">
        <f>AN18</f>
        <v>9342.0355694501686</v>
      </c>
      <c r="AP18" s="183"/>
      <c r="AQ18" s="533">
        <f>SUM(AN18+AQ17)</f>
        <v>10518.817343280523</v>
      </c>
      <c r="AR18" s="424">
        <f>SUM(AQ18+AR17)</f>
        <v>11535.85882761519</v>
      </c>
      <c r="AS18" s="424">
        <f>SUM(AR18+AS17)</f>
        <v>12414.843703027424</v>
      </c>
      <c r="AT18" s="180">
        <f>AS18</f>
        <v>12414.843703027424</v>
      </c>
      <c r="AU18" s="183"/>
      <c r="AV18" s="614"/>
      <c r="AW18" s="533">
        <f>SUM(AS18+AW17)</f>
        <v>13742.500700210356</v>
      </c>
      <c r="AX18" s="424">
        <f>SUM(AW18+AX17)</f>
        <v>14895.914022348381</v>
      </c>
      <c r="AY18" s="424">
        <f>SUM(AX18+AY17)</f>
        <v>15897.951667996531</v>
      </c>
      <c r="AZ18" s="180">
        <f>AY18</f>
        <v>15897.951667996531</v>
      </c>
      <c r="BA18" s="183"/>
      <c r="BB18" s="533">
        <f>SUM(AY18+BB17)</f>
        <v>17080.222849031477</v>
      </c>
      <c r="BC18" s="424">
        <f>SUM(BB18+BC17)</f>
        <v>18101.289786968668</v>
      </c>
      <c r="BD18" s="424">
        <f>SUM(BC18+BD17)</f>
        <v>18983.132894093862</v>
      </c>
      <c r="BE18" s="180">
        <f>BD18</f>
        <v>18983.132894093862</v>
      </c>
      <c r="BF18" s="183"/>
      <c r="BG18" s="533">
        <f>SUM(BD18+BG17)</f>
        <v>20067.078511498403</v>
      </c>
      <c r="BH18" s="424">
        <f>SUM(BG18+BH17)</f>
        <v>20999.958112474345</v>
      </c>
      <c r="BI18" s="424">
        <f>SUM(BH18+BI17)</f>
        <v>21802.825282139962</v>
      </c>
      <c r="BJ18" s="180">
        <f>BI18</f>
        <v>21802.825282139962</v>
      </c>
      <c r="BK18" s="183"/>
      <c r="BL18" s="533">
        <f>SUM(BI18+BL17)</f>
        <v>22857.106483984171</v>
      </c>
      <c r="BM18" s="424">
        <f>SUM(BL18+BM17)</f>
        <v>23762.409139039664</v>
      </c>
      <c r="BN18" s="424">
        <f>SUM(BM18+BN17)</f>
        <v>24539.785133050453</v>
      </c>
      <c r="BO18" s="180">
        <f>BN18</f>
        <v>24539.785133050453</v>
      </c>
      <c r="BP18" s="183"/>
      <c r="BQ18" s="184"/>
      <c r="BR18" s="533">
        <f>SUM(BO18+BR17)</f>
        <v>25589.694502612787</v>
      </c>
      <c r="BS18" s="424">
        <f>SUM(BR18+BS17)</f>
        <v>26489.280043281036</v>
      </c>
      <c r="BT18" s="424">
        <f>SUM(BS18+BT17)</f>
        <v>27260.064806652306</v>
      </c>
      <c r="BU18" s="180">
        <f>BT18</f>
        <v>27260.064806652306</v>
      </c>
      <c r="BV18" s="183"/>
      <c r="BW18" s="533">
        <f>SUM(BT18+BW17)</f>
        <v>28457.305333257958</v>
      </c>
      <c r="BX18" s="424">
        <f>SUM(BW18+BX17)</f>
        <v>29486.791315637303</v>
      </c>
      <c r="BY18" s="424">
        <f>SUM(BX18+BY17)</f>
        <v>30372.028128427432</v>
      </c>
      <c r="BZ18" s="180">
        <f>BY18</f>
        <v>30372.028128427432</v>
      </c>
      <c r="CA18" s="183"/>
      <c r="CB18" s="533">
        <f>SUM(BY18+CB17)</f>
        <v>31769.256660546547</v>
      </c>
      <c r="CC18" s="424">
        <f>SUM(CB18+CC17)</f>
        <v>32977.728849447645</v>
      </c>
      <c r="CD18" s="424">
        <f>SUM(CC18+CD17)</f>
        <v>34022.944429988704</v>
      </c>
      <c r="CE18" s="180">
        <f>CD18</f>
        <v>34022.944429988704</v>
      </c>
      <c r="CF18" s="183"/>
      <c r="CG18" s="533">
        <f>SUM(CD18+CG17)</f>
        <v>35687.770638875474</v>
      </c>
      <c r="CH18" s="424">
        <f>SUM(CG18+CH17)</f>
        <v>37139.294723677136</v>
      </c>
      <c r="CI18" s="424">
        <f>SUM(CH18+CI17)</f>
        <v>38404.845540640883</v>
      </c>
      <c r="CJ18" s="180">
        <f>CI18</f>
        <v>38404.845540640883</v>
      </c>
      <c r="CK18" s="183"/>
      <c r="CL18" s="55"/>
      <c r="CM18" s="55"/>
      <c r="CN18" s="55"/>
      <c r="CO18" s="55"/>
      <c r="CP18" s="55"/>
      <c r="CQ18" s="55"/>
      <c r="CR18" s="55"/>
      <c r="CS18" s="55"/>
      <c r="CT18" s="55"/>
      <c r="CU18" s="55"/>
      <c r="CV18" s="55"/>
      <c r="CW18" s="55"/>
      <c r="CX18" s="55"/>
      <c r="CY18" s="55"/>
      <c r="CZ18" s="55"/>
      <c r="DA18" s="55"/>
      <c r="DB18" s="55"/>
      <c r="DC18" s="55"/>
      <c r="DD18" s="55"/>
      <c r="DE18" s="55"/>
      <c r="DF18" s="55"/>
      <c r="DG18" s="55"/>
      <c r="DH18" s="55"/>
      <c r="DI18" s="55"/>
      <c r="DJ18" s="55"/>
      <c r="DK18" s="55"/>
      <c r="DL18" s="55"/>
      <c r="DM18" s="55"/>
      <c r="DN18" s="55"/>
      <c r="DO18" s="55"/>
      <c r="DP18" s="55"/>
      <c r="DQ18" s="55"/>
      <c r="DR18" s="55"/>
      <c r="DS18" s="55"/>
      <c r="DT18" s="55"/>
      <c r="DU18" s="55"/>
      <c r="DV18" s="55"/>
      <c r="DW18" s="55"/>
      <c r="DX18" s="55"/>
      <c r="DY18" s="55"/>
      <c r="DZ18" s="55"/>
      <c r="EA18" s="55"/>
      <c r="EB18" s="55"/>
      <c r="EC18" s="55"/>
      <c r="ED18" s="55"/>
      <c r="EE18" s="55"/>
      <c r="EF18" s="55"/>
      <c r="EG18" s="55"/>
      <c r="EH18" s="55"/>
      <c r="EI18" s="55"/>
      <c r="EJ18" s="55"/>
      <c r="EK18" s="55"/>
      <c r="EL18" s="55"/>
      <c r="EM18" s="55"/>
      <c r="EN18" s="55"/>
      <c r="EO18" s="55"/>
      <c r="EP18" s="55"/>
      <c r="EQ18" s="55"/>
      <c r="ER18" s="55"/>
      <c r="ES18" s="55"/>
      <c r="ET18" s="55"/>
      <c r="EU18" s="55"/>
      <c r="EV18" s="55"/>
      <c r="EW18" s="55"/>
      <c r="EX18" s="55"/>
      <c r="EY18" s="55"/>
      <c r="EZ18" s="55"/>
      <c r="FA18" s="55"/>
      <c r="FB18" s="55"/>
      <c r="FC18" s="55"/>
      <c r="FD18" s="55"/>
      <c r="FE18" s="55"/>
      <c r="FF18" s="55"/>
      <c r="FG18" s="55"/>
      <c r="FH18" s="55"/>
      <c r="FI18" s="55"/>
      <c r="FJ18" s="55"/>
      <c r="FK18" s="55"/>
      <c r="FL18" s="55"/>
      <c r="FM18" s="55"/>
      <c r="FN18" s="55"/>
      <c r="FO18" s="55"/>
      <c r="FP18" s="55"/>
      <c r="FQ18" s="55"/>
      <c r="FR18" s="55"/>
      <c r="FS18" s="55"/>
      <c r="FT18" s="55"/>
      <c r="FU18" s="55"/>
      <c r="FV18" s="55"/>
      <c r="FW18" s="55"/>
    </row>
    <row r="19" spans="1:179" s="55" customFormat="1" ht="4.5" customHeight="1" x14ac:dyDescent="0.15">
      <c r="A19" s="189"/>
      <c r="B19" s="190"/>
      <c r="C19" s="191"/>
      <c r="D19" s="192"/>
      <c r="E19" s="193"/>
      <c r="F19" s="194"/>
      <c r="G19" s="195"/>
      <c r="H19" s="195"/>
      <c r="I19" s="195"/>
      <c r="J19" s="196"/>
      <c r="K19" s="195"/>
      <c r="L19" s="195"/>
      <c r="M19" s="195"/>
      <c r="N19" s="195"/>
      <c r="O19" s="196"/>
      <c r="P19" s="195"/>
      <c r="Q19" s="195"/>
      <c r="R19" s="195"/>
      <c r="S19" s="195"/>
      <c r="T19" s="197"/>
      <c r="U19" s="199"/>
      <c r="V19" s="190"/>
      <c r="W19" s="195"/>
      <c r="X19" s="198"/>
      <c r="Y19" s="199"/>
      <c r="Z19" s="564"/>
      <c r="AA19" s="615"/>
      <c r="AB19" s="593"/>
      <c r="AC19" s="200"/>
      <c r="AD19" s="200"/>
      <c r="AE19" s="200"/>
      <c r="AF19" s="201"/>
      <c r="AG19" s="593"/>
      <c r="AH19" s="200"/>
      <c r="AI19" s="200"/>
      <c r="AJ19" s="200"/>
      <c r="AK19" s="201"/>
      <c r="AL19" s="593"/>
      <c r="AM19" s="200"/>
      <c r="AN19" s="200"/>
      <c r="AO19" s="200"/>
      <c r="AP19" s="201"/>
      <c r="AQ19" s="593"/>
      <c r="AR19" s="200"/>
      <c r="AS19" s="200"/>
      <c r="AT19" s="200"/>
      <c r="AU19" s="201"/>
      <c r="AV19" s="615"/>
      <c r="AW19" s="593"/>
      <c r="AX19" s="200"/>
      <c r="AY19" s="200"/>
      <c r="AZ19" s="200"/>
      <c r="BA19" s="201"/>
      <c r="BB19" s="593"/>
      <c r="BC19" s="200"/>
      <c r="BD19" s="200"/>
      <c r="BE19" s="200"/>
      <c r="BF19" s="201"/>
      <c r="BG19" s="593"/>
      <c r="BH19" s="200"/>
      <c r="BI19" s="200"/>
      <c r="BJ19" s="200"/>
      <c r="BK19" s="201"/>
      <c r="BL19" s="593"/>
      <c r="BM19" s="200"/>
      <c r="BN19" s="200"/>
      <c r="BO19" s="200"/>
      <c r="BP19" s="201"/>
      <c r="BQ19" s="199"/>
      <c r="BR19" s="593"/>
      <c r="BS19" s="200"/>
      <c r="BT19" s="200"/>
      <c r="BU19" s="200"/>
      <c r="BV19" s="201"/>
      <c r="BW19" s="593"/>
      <c r="BX19" s="200"/>
      <c r="BY19" s="200"/>
      <c r="BZ19" s="200"/>
      <c r="CA19" s="201"/>
      <c r="CB19" s="593"/>
      <c r="CC19" s="200"/>
      <c r="CD19" s="200"/>
      <c r="CE19" s="200"/>
      <c r="CF19" s="201"/>
      <c r="CG19" s="593"/>
      <c r="CH19" s="200"/>
      <c r="CI19" s="200"/>
      <c r="CJ19" s="200"/>
      <c r="CK19" s="201"/>
    </row>
    <row r="20" spans="1:179" s="57" customFormat="1" ht="9.75" customHeight="1" x14ac:dyDescent="0.15">
      <c r="A20" s="486" t="s">
        <v>218</v>
      </c>
      <c r="B20" s="125"/>
      <c r="C20" s="202"/>
      <c r="D20" s="630"/>
      <c r="E20" s="631"/>
      <c r="F20" s="497"/>
      <c r="G20" s="496"/>
      <c r="H20" s="496"/>
      <c r="I20" s="496"/>
      <c r="J20" s="205"/>
      <c r="K20" s="496"/>
      <c r="L20" s="496"/>
      <c r="M20" s="496"/>
      <c r="N20" s="496"/>
      <c r="O20" s="205"/>
      <c r="P20" s="496"/>
      <c r="Q20" s="496"/>
      <c r="R20" s="496"/>
      <c r="S20" s="496"/>
      <c r="T20" s="206"/>
      <c r="U20" s="209"/>
      <c r="V20" s="207"/>
      <c r="W20" s="205"/>
      <c r="X20" s="208"/>
      <c r="Y20" s="209"/>
      <c r="Z20" s="577"/>
      <c r="AA20" s="616"/>
      <c r="AB20" s="594"/>
      <c r="AC20" s="490"/>
      <c r="AD20" s="490"/>
      <c r="AE20" s="490"/>
      <c r="AF20" s="212"/>
      <c r="AG20" s="594"/>
      <c r="AH20" s="490"/>
      <c r="AI20" s="490"/>
      <c r="AJ20" s="490"/>
      <c r="AK20" s="212"/>
      <c r="AL20" s="594"/>
      <c r="AM20" s="490"/>
      <c r="AN20" s="490"/>
      <c r="AO20" s="490"/>
      <c r="AP20" s="212"/>
      <c r="AQ20" s="594"/>
      <c r="AR20" s="490"/>
      <c r="AS20" s="490"/>
      <c r="AT20" s="490"/>
      <c r="AU20" s="212"/>
      <c r="AV20" s="616"/>
      <c r="AW20" s="594"/>
      <c r="AX20" s="490"/>
      <c r="AY20" s="490"/>
      <c r="AZ20" s="490"/>
      <c r="BA20" s="212"/>
      <c r="BB20" s="594"/>
      <c r="BC20" s="490"/>
      <c r="BD20" s="490"/>
      <c r="BE20" s="490"/>
      <c r="BF20" s="212"/>
      <c r="BG20" s="594"/>
      <c r="BH20" s="490"/>
      <c r="BI20" s="490"/>
      <c r="BJ20" s="490"/>
      <c r="BK20" s="212"/>
      <c r="BL20" s="594"/>
      <c r="BM20" s="490"/>
      <c r="BN20" s="490"/>
      <c r="BO20" s="490"/>
      <c r="BP20" s="212"/>
      <c r="BQ20" s="209"/>
      <c r="BR20" s="594"/>
      <c r="BS20" s="490"/>
      <c r="BT20" s="490"/>
      <c r="BU20" s="490"/>
      <c r="BV20" s="212"/>
      <c r="BW20" s="594"/>
      <c r="BX20" s="490"/>
      <c r="BY20" s="490"/>
      <c r="BZ20" s="490"/>
      <c r="CA20" s="212"/>
      <c r="CB20" s="594"/>
      <c r="CC20" s="490"/>
      <c r="CD20" s="490"/>
      <c r="CE20" s="490"/>
      <c r="CF20" s="212"/>
      <c r="CG20" s="594"/>
      <c r="CH20" s="490"/>
      <c r="CI20" s="490"/>
      <c r="CJ20" s="490"/>
      <c r="CK20" s="212"/>
      <c r="CL20" s="55"/>
      <c r="CM20" s="55"/>
      <c r="CN20" s="55"/>
      <c r="CO20" s="55"/>
      <c r="CP20" s="55"/>
      <c r="CQ20" s="55"/>
      <c r="CR20" s="55"/>
      <c r="CS20" s="55"/>
      <c r="CT20" s="55"/>
      <c r="CU20" s="55"/>
      <c r="CV20" s="55"/>
      <c r="CW20" s="55"/>
      <c r="CX20" s="55"/>
      <c r="CY20" s="55"/>
      <c r="CZ20" s="55"/>
      <c r="DA20" s="55"/>
      <c r="DB20" s="55"/>
      <c r="DC20" s="55"/>
      <c r="DD20" s="55"/>
      <c r="DE20" s="55"/>
      <c r="DF20" s="55"/>
      <c r="DG20" s="55"/>
      <c r="DH20" s="55"/>
      <c r="DI20" s="55"/>
      <c r="DJ20" s="55"/>
      <c r="DK20" s="55"/>
      <c r="DL20" s="55"/>
      <c r="DM20" s="55"/>
      <c r="DN20" s="55"/>
      <c r="DO20" s="55"/>
      <c r="DP20" s="55"/>
      <c r="DQ20" s="55"/>
      <c r="DR20" s="55"/>
      <c r="DS20" s="55"/>
      <c r="DT20" s="55"/>
      <c r="DU20" s="55"/>
      <c r="DV20" s="55"/>
      <c r="DW20" s="55"/>
      <c r="DX20" s="55"/>
      <c r="DY20" s="55"/>
      <c r="DZ20" s="55"/>
      <c r="EA20" s="55"/>
      <c r="EB20" s="55"/>
      <c r="EC20" s="55"/>
      <c r="ED20" s="55"/>
      <c r="EE20" s="55"/>
      <c r="EF20" s="55"/>
      <c r="EG20" s="55"/>
      <c r="EH20" s="55"/>
      <c r="EI20" s="55"/>
      <c r="EJ20" s="55"/>
      <c r="EK20" s="55"/>
      <c r="EL20" s="55"/>
      <c r="EM20" s="55"/>
      <c r="EN20" s="55"/>
      <c r="EO20" s="55"/>
      <c r="EP20" s="55"/>
      <c r="EQ20" s="55"/>
      <c r="ER20" s="55"/>
      <c r="ES20" s="55"/>
      <c r="ET20" s="55"/>
      <c r="EU20" s="55"/>
      <c r="EV20" s="55"/>
      <c r="EW20" s="55"/>
      <c r="EX20" s="55"/>
      <c r="EY20" s="55"/>
      <c r="EZ20" s="55"/>
      <c r="FA20" s="55"/>
      <c r="FB20" s="55"/>
      <c r="FC20" s="55"/>
      <c r="FD20" s="55"/>
      <c r="FE20" s="55"/>
      <c r="FF20" s="55"/>
      <c r="FG20" s="55"/>
      <c r="FH20" s="55"/>
      <c r="FI20" s="55"/>
      <c r="FJ20" s="55"/>
      <c r="FK20" s="55"/>
      <c r="FL20" s="55"/>
      <c r="FM20" s="55"/>
      <c r="FN20" s="55"/>
      <c r="FO20" s="55"/>
      <c r="FP20" s="55"/>
      <c r="FQ20" s="55"/>
      <c r="FR20" s="55"/>
      <c r="FS20" s="55"/>
      <c r="FT20" s="55"/>
      <c r="FU20" s="55"/>
      <c r="FV20" s="55"/>
      <c r="FW20" s="55"/>
    </row>
    <row r="21" spans="1:179" s="57" customFormat="1" ht="9.75" customHeight="1" x14ac:dyDescent="0.15">
      <c r="A21" s="468" t="s">
        <v>144</v>
      </c>
      <c r="B21" s="300">
        <v>0.2</v>
      </c>
      <c r="C21" s="299">
        <v>0.06</v>
      </c>
      <c r="D21" s="224"/>
      <c r="E21" s="225"/>
      <c r="F21" s="215">
        <v>0</v>
      </c>
      <c r="G21" s="216">
        <v>0</v>
      </c>
      <c r="H21" s="493">
        <f>SUM(IF(ISBLANK(D21),B21,D21))</f>
        <v>0.2</v>
      </c>
      <c r="I21" s="493">
        <f>SUM(IF((1*(IF(ISBLANK(E21),C21,E21)))+IF(ISBLANK(D21),B21,D21) &lt; 0, 0, (1*(IF(ISBLANK(E21),C21,E21)))+IF(ISBLANK(D21),B21,D21)))</f>
        <v>0.26</v>
      </c>
      <c r="J21" s="217">
        <f>SUM(AE21+AJ21+AO21+AT21)</f>
        <v>13776.486572031628</v>
      </c>
      <c r="K21" s="493">
        <f>SUM(IF((2*(IF(ISBLANK(E21),C21,E21)))+IF(ISBLANK(D21),B21,D21) &lt; 0, 0, (2*(IF(ISBLANK(E21),C21,E21)))+IF(ISBLANK(D21),B21,D21)))</f>
        <v>0.32</v>
      </c>
      <c r="L21" s="493">
        <f>SUM(IF((3*(IF(ISBLANK(E21),C21,E21)))+IF(ISBLANK(D21),B21,D21) &lt; 0, 0, (3*(IF(ISBLANK(E21),C21,E21)))+IF(ISBLANK(D21),B21,D21)))</f>
        <v>0.38</v>
      </c>
      <c r="M21" s="493">
        <f>SUM(IF((4*(IF(ISBLANK(E21),C21,E21)))+IF(ISBLANK(D21),B21,D21) &lt; 0, 0, (4*(IF(ISBLANK(E21),C21,E21)))+IF(ISBLANK(D21),B21,D21)))</f>
        <v>0.44</v>
      </c>
      <c r="N21" s="493">
        <f>SUM(IF((5*(IF(ISBLANK(E21),C21,E21)))+IF(ISBLANK(D21),B21,D21) &lt; 0, 0, (5*(IF(ISBLANK(E21),C21,E21)))+IF(ISBLANK(D21),B21,D21)))</f>
        <v>0.5</v>
      </c>
      <c r="O21" s="217">
        <f>SUM(AZ21+BE21+BJ21+BO21)</f>
        <v>98076.592163140143</v>
      </c>
      <c r="P21" s="493">
        <f>SUM(IF((6*(IF(ISBLANK(E21),C21,E21)))+IF(ISBLANK(D21),B21,D21) &lt; 0, 0, (6*(IF(ISBLANK(E21),C21,E21)))+IF(ISBLANK(D21),B21,D21)))</f>
        <v>0.56000000000000005</v>
      </c>
      <c r="Q21" s="493">
        <f>SUM(IF((7*(IF(ISBLANK(E21),C21,E21)))+IF(ISBLANK(D21),B21,D21) &lt; 0, 0, (7*(IF(ISBLANK(E21),C21,E21)))+IF(ISBLANK(D21),B21,D21)))</f>
        <v>0.62</v>
      </c>
      <c r="R21" s="493">
        <f>SUM(IF((8*(IF(ISBLANK(E21),C21,E21)))+IF(ISBLANK(D21),B21,D21) &lt; 0, 0, (8*(IF(ISBLANK(E21),C21,E21)))+IF(ISBLANK(D21),B21,D21)))</f>
        <v>0.67999999999999994</v>
      </c>
      <c r="S21" s="493">
        <f>SUM(IF((9*(IF(ISBLANK(E21),C21,E21)))+IF(ISBLANK(D21),B21,D21) &lt; 0, 0, (9*(IF(ISBLANK(E21),C21,E21)))+IF(ISBLANK(D21),B21,D21)))</f>
        <v>0.74</v>
      </c>
      <c r="T21" s="218">
        <f>SUM(BU21+BZ21+CE21+CJ21)</f>
        <v>248661.02582691747</v>
      </c>
      <c r="U21" s="247"/>
      <c r="V21" s="213">
        <f>SUM(IF((11*(IF(ISBLANK(E21),C21,E21)))+IF(ISBLANK(D21),B21,D21) &lt; 0, 0, (11*(IF(ISBLANK(E21),C21,E21)))+IF(ISBLANK(D21),B21,D21)))*12</f>
        <v>10.319999999999999</v>
      </c>
      <c r="W21" s="219">
        <f>SUM(IF((13*(IF(ISBLANK(E21),C21,E21)))+IF(ISBLANK(D21),B21,D21) &lt; 0, 0, (13*(IF(ISBLANK(E21),C21,E21)))+IF(ISBLANK(D21),B21,D21)))*12</f>
        <v>11.76</v>
      </c>
      <c r="X21" s="220">
        <f>SUM(IF((15*(IF(ISBLANK(E21),C21,E21)))+IF(ISBLANK(D21),B21,D21) &lt; 0, 0, (15*(IF(ISBLANK(E21),C21,E21)))+IF(ISBLANK(D21),B21,D21)))*12</f>
        <v>13.2</v>
      </c>
      <c r="Y21" s="221"/>
      <c r="Z21" s="578">
        <v>0</v>
      </c>
      <c r="AA21" s="617"/>
      <c r="AB21" s="532">
        <f>SUM(AB18*F21)</f>
        <v>0</v>
      </c>
      <c r="AC21" s="492">
        <f>SUM(AC18*F21)</f>
        <v>0</v>
      </c>
      <c r="AD21" s="492">
        <f>SUM(AD18*F21)</f>
        <v>0</v>
      </c>
      <c r="AE21" s="492">
        <f t="shared" ref="AE21:AE29" si="70">SUM(AB21:AD21)</f>
        <v>0</v>
      </c>
      <c r="AF21" s="222"/>
      <c r="AG21" s="532">
        <f>SUM(AG18*G21)</f>
        <v>0</v>
      </c>
      <c r="AH21" s="492">
        <f>SUM(AH18*G21)</f>
        <v>0</v>
      </c>
      <c r="AI21" s="492">
        <f>SUM(AI18*G21)</f>
        <v>0</v>
      </c>
      <c r="AJ21" s="492">
        <f t="shared" ref="AJ21:AJ29" si="71">SUM(AG21:AI21)</f>
        <v>0</v>
      </c>
      <c r="AK21" s="222"/>
      <c r="AL21" s="532">
        <f t="shared" ref="AL21:AL28" si="72">SUM(AL18*H21)</f>
        <v>1329.0618406628175</v>
      </c>
      <c r="AM21" s="492">
        <f t="shared" ref="AM21:AM28" si="73">SUM(AM18*H21)</f>
        <v>1616.9424502587606</v>
      </c>
      <c r="AN21" s="492">
        <f t="shared" ref="AN21:AN28" si="74">SUM(AN18*H21)</f>
        <v>1868.4071138900338</v>
      </c>
      <c r="AO21" s="492">
        <f t="shared" ref="AO21:AO29" si="75">SUM(AL21:AN21)</f>
        <v>4814.4114048116116</v>
      </c>
      <c r="AP21" s="222"/>
      <c r="AQ21" s="532">
        <f>SUM(AQ18*I21)</f>
        <v>2734.8925092529362</v>
      </c>
      <c r="AR21" s="492">
        <f>SUM(AR18*I21)</f>
        <v>2999.3232951799496</v>
      </c>
      <c r="AS21" s="492">
        <f>SUM(AS18*I21)</f>
        <v>3227.8593627871301</v>
      </c>
      <c r="AT21" s="492">
        <f t="shared" ref="AT21:AT29" si="76">SUM(AQ21:AS21)</f>
        <v>8962.0751672200167</v>
      </c>
      <c r="AU21" s="222"/>
      <c r="AV21" s="617"/>
      <c r="AW21" s="532">
        <f>SUM(AW18*K21)</f>
        <v>4397.6002240673142</v>
      </c>
      <c r="AX21" s="492">
        <f>SUM(AX18*K21)</f>
        <v>4766.6924871514821</v>
      </c>
      <c r="AY21" s="492">
        <f>SUM(AY18*K21)</f>
        <v>5087.3445337588901</v>
      </c>
      <c r="AZ21" s="492">
        <f t="shared" ref="AZ21:AZ29" si="77">SUM(AW21:AY21)</f>
        <v>14251.637244977686</v>
      </c>
      <c r="BA21" s="222"/>
      <c r="BB21" s="532">
        <f>SUM(BB18*L21)</f>
        <v>6490.4846826319617</v>
      </c>
      <c r="BC21" s="492">
        <f>SUM(BC18*L21)</f>
        <v>6878.4901190480941</v>
      </c>
      <c r="BD21" s="492">
        <f>SUM(BD18*L21)</f>
        <v>7213.5904997556672</v>
      </c>
      <c r="BE21" s="492">
        <f t="shared" ref="BE21:BE29" si="78">SUM(BB21:BD21)</f>
        <v>20582.565301435723</v>
      </c>
      <c r="BF21" s="222"/>
      <c r="BG21" s="532">
        <f>SUM(BG18*M21)</f>
        <v>8829.5145450592972</v>
      </c>
      <c r="BH21" s="492">
        <f>SUM(BH18*M21)</f>
        <v>9239.9815694887129</v>
      </c>
      <c r="BI21" s="492">
        <f>SUM(BI18*M21)</f>
        <v>9593.2431241415834</v>
      </c>
      <c r="BJ21" s="492">
        <f t="shared" ref="BJ21:BJ29" si="79">SUM(BG21:BI21)</f>
        <v>27662.739238689595</v>
      </c>
      <c r="BK21" s="222"/>
      <c r="BL21" s="532">
        <f>SUM(BL18*N21)</f>
        <v>11428.553241992086</v>
      </c>
      <c r="BM21" s="492">
        <f>SUM(BM18*N21)</f>
        <v>11881.204569519832</v>
      </c>
      <c r="BN21" s="492">
        <f>SUM(BN18*N21)</f>
        <v>12269.892566525226</v>
      </c>
      <c r="BO21" s="492">
        <f t="shared" ref="BO21:BO29" si="80">SUM(BL21:BN21)</f>
        <v>35579.650378037142</v>
      </c>
      <c r="BP21" s="222"/>
      <c r="BQ21" s="221"/>
      <c r="BR21" s="532">
        <f>SUM(BR18*P21)</f>
        <v>14330.228921463162</v>
      </c>
      <c r="BS21" s="492">
        <f>SUM(BS18*P21)</f>
        <v>14833.996824237382</v>
      </c>
      <c r="BT21" s="492">
        <f>SUM(BT18*P21)</f>
        <v>15265.636291725294</v>
      </c>
      <c r="BU21" s="492">
        <f t="shared" ref="BU21:BU29" si="81">SUM(BR21:BT21)</f>
        <v>44429.862037425839</v>
      </c>
      <c r="BV21" s="222"/>
      <c r="BW21" s="532">
        <f>SUM(BW18*Q21)</f>
        <v>17643.529306619934</v>
      </c>
      <c r="BX21" s="492">
        <f>SUM(BX18*Q21)</f>
        <v>18281.810615695129</v>
      </c>
      <c r="BY21" s="492">
        <f>SUM(BY18*Q21)</f>
        <v>18830.657439625007</v>
      </c>
      <c r="BZ21" s="492">
        <f t="shared" ref="BZ21:BZ29" si="82">SUM(BW21:BY21)</f>
        <v>54755.99736194007</v>
      </c>
      <c r="CA21" s="222"/>
      <c r="CB21" s="532">
        <f>SUM(CB18*R21)</f>
        <v>21603.094529171649</v>
      </c>
      <c r="CC21" s="492">
        <f>SUM(CC18*R21)</f>
        <v>22424.855617624398</v>
      </c>
      <c r="CD21" s="492">
        <f>SUM(CD18*R21)</f>
        <v>23135.602212392318</v>
      </c>
      <c r="CE21" s="492">
        <f t="shared" ref="CE21:CE29" si="83">SUM(CB21:CD21)</f>
        <v>67163.552359188368</v>
      </c>
      <c r="CF21" s="222"/>
      <c r="CG21" s="532">
        <f>SUM(CG18*S21)</f>
        <v>26408.950272767852</v>
      </c>
      <c r="CH21" s="492">
        <f>SUM(CH18*S21)</f>
        <v>27483.078095521079</v>
      </c>
      <c r="CI21" s="492">
        <f>SUM(CI18*S21)</f>
        <v>28419.585700074254</v>
      </c>
      <c r="CJ21" s="492">
        <f t="shared" ref="CJ21:CJ29" si="84">SUM(CG21:CI21)</f>
        <v>82311.614068363182</v>
      </c>
      <c r="CK21" s="222"/>
      <c r="CL21" s="55"/>
      <c r="CM21" s="55"/>
      <c r="CN21" s="55"/>
      <c r="CO21" s="55"/>
      <c r="CP21" s="55"/>
      <c r="CQ21" s="55"/>
      <c r="CR21" s="55"/>
      <c r="CS21" s="55"/>
      <c r="CT21" s="55"/>
      <c r="CU21" s="55"/>
      <c r="CV21" s="55"/>
      <c r="CW21" s="55"/>
      <c r="CX21" s="55"/>
      <c r="CY21" s="55"/>
      <c r="CZ21" s="55"/>
      <c r="DA21" s="55"/>
      <c r="DB21" s="55"/>
      <c r="DC21" s="55"/>
      <c r="DD21" s="55"/>
      <c r="DE21" s="55"/>
      <c r="DF21" s="55"/>
      <c r="DG21" s="55"/>
      <c r="DH21" s="55"/>
      <c r="DI21" s="55"/>
      <c r="DJ21" s="55"/>
      <c r="DK21" s="55"/>
      <c r="DL21" s="55"/>
      <c r="DM21" s="55"/>
      <c r="DN21" s="55"/>
      <c r="DO21" s="55"/>
      <c r="DP21" s="55"/>
      <c r="DQ21" s="55"/>
      <c r="DR21" s="55"/>
      <c r="DS21" s="55"/>
      <c r="DT21" s="55"/>
      <c r="DU21" s="55"/>
      <c r="DV21" s="55"/>
      <c r="DW21" s="55"/>
      <c r="DX21" s="55"/>
      <c r="DY21" s="55"/>
      <c r="DZ21" s="55"/>
      <c r="EA21" s="55"/>
      <c r="EB21" s="55"/>
      <c r="EC21" s="55"/>
      <c r="ED21" s="55"/>
      <c r="EE21" s="55"/>
      <c r="EF21" s="55"/>
      <c r="EG21" s="55"/>
      <c r="EH21" s="55"/>
      <c r="EI21" s="55"/>
      <c r="EJ21" s="55"/>
      <c r="EK21" s="55"/>
      <c r="EL21" s="55"/>
      <c r="EM21" s="55"/>
      <c r="EN21" s="55"/>
      <c r="EO21" s="55"/>
      <c r="EP21" s="55"/>
      <c r="EQ21" s="55"/>
      <c r="ER21" s="55"/>
      <c r="ES21" s="55"/>
      <c r="ET21" s="55"/>
      <c r="EU21" s="55"/>
      <c r="EV21" s="55"/>
      <c r="EW21" s="55"/>
      <c r="EX21" s="55"/>
      <c r="EY21" s="55"/>
      <c r="EZ21" s="55"/>
      <c r="FA21" s="55"/>
      <c r="FB21" s="55"/>
      <c r="FC21" s="55"/>
      <c r="FD21" s="55"/>
      <c r="FE21" s="55"/>
      <c r="FF21" s="55"/>
      <c r="FG21" s="55"/>
      <c r="FH21" s="55"/>
      <c r="FI21" s="55"/>
      <c r="FJ21" s="55"/>
      <c r="FK21" s="55"/>
      <c r="FL21" s="55"/>
      <c r="FM21" s="55"/>
      <c r="FN21" s="55"/>
      <c r="FO21" s="55"/>
      <c r="FP21" s="55"/>
      <c r="FQ21" s="55"/>
      <c r="FR21" s="55"/>
      <c r="FS21" s="55"/>
      <c r="FT21" s="55"/>
      <c r="FU21" s="55"/>
      <c r="FV21" s="55"/>
      <c r="FW21" s="55"/>
    </row>
    <row r="22" spans="1:179" s="57" customFormat="1" ht="9.75" customHeight="1" x14ac:dyDescent="0.15">
      <c r="A22" s="468" t="s">
        <v>145</v>
      </c>
      <c r="B22" s="300">
        <v>0.15</v>
      </c>
      <c r="C22" s="299">
        <v>0.06</v>
      </c>
      <c r="D22" s="224"/>
      <c r="E22" s="225"/>
      <c r="F22" s="215">
        <v>0</v>
      </c>
      <c r="G22" s="216">
        <v>0</v>
      </c>
      <c r="H22" s="493">
        <f t="shared" ref="H22" si="85">SUM(IF(ISBLANK(D22),B22,D22))</f>
        <v>0.15</v>
      </c>
      <c r="I22" s="493">
        <f t="shared" ref="I22" si="86">SUM(IF((1*(IF(ISBLANK(E22),C22,E22)))+IF(ISBLANK(D22),B22,D22) &lt; 0, 0, (1*(IF(ISBLANK(E22),C22,E22)))+IF(ISBLANK(D22),B22,D22)))</f>
        <v>0.21</v>
      </c>
      <c r="J22" s="217">
        <f>SUM(AE22+AJ22+AO22+AT22)</f>
        <v>7238.5991735238586</v>
      </c>
      <c r="K22" s="493">
        <f t="shared" ref="K22" si="87">SUM(IF((2*(IF(ISBLANK(E22),C22,E22)))+IF(ISBLANK(D22),B22,D22) &lt; 0, 0, (2*(IF(ISBLANK(E22),C22,E22)))+IF(ISBLANK(D22),B22,D22)))</f>
        <v>0.27</v>
      </c>
      <c r="L22" s="493">
        <f t="shared" ref="L22" si="88">SUM(IF((3*(IF(ISBLANK(E22),C22,E22)))+IF(ISBLANK(D22),B22,D22) &lt; 0, 0, (3*(IF(ISBLANK(E22),C22,E22)))+IF(ISBLANK(D22),B22,D22)))</f>
        <v>0.32999999999999996</v>
      </c>
      <c r="M22" s="493">
        <f t="shared" ref="M22" si="89">SUM(IF((4*(IF(ISBLANK(E22),C22,E22)))+IF(ISBLANK(D22),B22,D22) &lt; 0, 0, (4*(IF(ISBLANK(E22),C22,E22)))+IF(ISBLANK(D22),B22,D22)))</f>
        <v>0.39</v>
      </c>
      <c r="N22" s="493">
        <f t="shared" ref="N22" si="90">SUM(IF((5*(IF(ISBLANK(E22),C22,E22)))+IF(ISBLANK(D22),B22,D22) &lt; 0, 0, (5*(IF(ISBLANK(E22),C22,E22)))+IF(ISBLANK(D22),B22,D22)))</f>
        <v>0.44999999999999996</v>
      </c>
      <c r="O22" s="217">
        <f t="shared" ref="O22:O29" si="91">SUM(AZ22+BE22+BJ22+BO22)</f>
        <v>86440.083433998327</v>
      </c>
      <c r="P22" s="493">
        <f t="shared" ref="P22" si="92">SUM(IF((6*(IF(ISBLANK(E22),C22,E22)))+IF(ISBLANK(D22),B22,D22) &lt; 0, 0, (6*(IF(ISBLANK(E22),C22,E22)))+IF(ISBLANK(D22),B22,D22)))</f>
        <v>0.51</v>
      </c>
      <c r="Q22" s="493">
        <f t="shared" ref="Q22" si="93">SUM(IF((7*(IF(ISBLANK(E22),C22,E22)))+IF(ISBLANK(D22),B22,D22) &lt; 0, 0, (7*(IF(ISBLANK(E22),C22,E22)))+IF(ISBLANK(D22),B22,D22)))</f>
        <v>0.56999999999999995</v>
      </c>
      <c r="R22" s="493">
        <f t="shared" ref="R22" si="94">SUM(IF((8*(IF(ISBLANK(E22),C22,E22)))+IF(ISBLANK(D22),B22,D22) &lt; 0, 0, (8*(IF(ISBLANK(E22),C22,E22)))+IF(ISBLANK(D22),B22,D22)))</f>
        <v>0.63</v>
      </c>
      <c r="S22" s="493">
        <f t="shared" ref="S22" si="95">SUM(IF((9*(IF(ISBLANK(E22),C22,E22)))+IF(ISBLANK(D22),B22,D22) &lt; 0, 0, (9*(IF(ISBLANK(E22),C22,E22)))+IF(ISBLANK(D22),B22,D22)))</f>
        <v>0.69000000000000006</v>
      </c>
      <c r="T22" s="218">
        <f t="shared" ref="T22:T29" si="96">SUM(BU22+BZ22+CE22+CJ22)</f>
        <v>229778.17557826516</v>
      </c>
      <c r="U22" s="247"/>
      <c r="V22" s="213">
        <f>SUM(IF((11*(IF(ISBLANK(E22),C22,E22)))+IF(ISBLANK(D22),B22,D22) &lt; 0, 0, (11*(IF(ISBLANK(E22),C22,E22)))+IF(ISBLANK(D22),B22,D22)))*12</f>
        <v>9.7199999999999989</v>
      </c>
      <c r="W22" s="219">
        <f>SUM(IF((13*(IF(ISBLANK(E22),C22,E22)))+IF(ISBLANK(D22),B22,D22) &lt; 0, 0, (13*(IF(ISBLANK(E22),C22,E22)))+IF(ISBLANK(D22),B22,D22)))*12</f>
        <v>11.16</v>
      </c>
      <c r="X22" s="220">
        <f>SUM(IF((15*(IF(ISBLANK(E22),C22,E22)))+IF(ISBLANK(D22),B22,D22) &lt; 0, 0, (15*(IF(ISBLANK(E22),C22,E22)))+IF(ISBLANK(D22),B22,D22)))*12</f>
        <v>12.599999999999998</v>
      </c>
      <c r="Y22" s="221"/>
      <c r="Z22" s="578">
        <v>0</v>
      </c>
      <c r="AA22" s="617"/>
      <c r="AB22" s="532">
        <f>SUM(AB18*F22)</f>
        <v>0</v>
      </c>
      <c r="AC22" s="492">
        <f>SUM(AC18*F22)</f>
        <v>0</v>
      </c>
      <c r="AD22" s="492">
        <f>SUM(AD18*F22)</f>
        <v>0</v>
      </c>
      <c r="AE22" s="492">
        <f t="shared" si="70"/>
        <v>0</v>
      </c>
      <c r="AF22" s="222"/>
      <c r="AG22" s="532">
        <f>SUM(AG18*G22)</f>
        <v>0</v>
      </c>
      <c r="AH22" s="492">
        <f>SUM(AH18*G22)</f>
        <v>0</v>
      </c>
      <c r="AI22" s="492">
        <f>SUM(AI18*G22)</f>
        <v>0</v>
      </c>
      <c r="AJ22" s="492">
        <f t="shared" si="71"/>
        <v>0</v>
      </c>
      <c r="AK22" s="222"/>
      <c r="AL22" s="532">
        <f t="shared" si="72"/>
        <v>0</v>
      </c>
      <c r="AM22" s="492">
        <f t="shared" si="73"/>
        <v>0</v>
      </c>
      <c r="AN22" s="492">
        <f t="shared" si="74"/>
        <v>0</v>
      </c>
      <c r="AO22" s="492">
        <f t="shared" si="75"/>
        <v>0</v>
      </c>
      <c r="AP22" s="222"/>
      <c r="AQ22" s="532">
        <f>SUM(AQ18*I22)</f>
        <v>2208.9516420889099</v>
      </c>
      <c r="AR22" s="492">
        <f>SUM(AR18*I22)</f>
        <v>2422.5303537991899</v>
      </c>
      <c r="AS22" s="492">
        <f>SUM(AS18*I22)</f>
        <v>2607.1171776357587</v>
      </c>
      <c r="AT22" s="492">
        <f t="shared" si="76"/>
        <v>7238.5991735238586</v>
      </c>
      <c r="AU22" s="222"/>
      <c r="AV22" s="617"/>
      <c r="AW22" s="532">
        <f>SUM(AW18*K22)</f>
        <v>3710.4751890567964</v>
      </c>
      <c r="AX22" s="492">
        <f>SUM(AX18*K22)</f>
        <v>4021.8967860340631</v>
      </c>
      <c r="AY22" s="492">
        <f>SUM(AY18*K22)</f>
        <v>4292.4469503590635</v>
      </c>
      <c r="AZ22" s="492">
        <f t="shared" si="77"/>
        <v>12024.818925449923</v>
      </c>
      <c r="BA22" s="222"/>
      <c r="BB22" s="532">
        <f>SUM(BB18*L22)</f>
        <v>5636.4735401803864</v>
      </c>
      <c r="BC22" s="492">
        <f>SUM(BC18*L22)</f>
        <v>5973.42562969966</v>
      </c>
      <c r="BD22" s="492">
        <f>SUM(BD18*L22)</f>
        <v>6264.4338550509738</v>
      </c>
      <c r="BE22" s="492">
        <f t="shared" si="78"/>
        <v>17874.33302493102</v>
      </c>
      <c r="BF22" s="222"/>
      <c r="BG22" s="532">
        <f>SUM(BG18*M22)</f>
        <v>7826.1606194843771</v>
      </c>
      <c r="BH22" s="492">
        <f>SUM(BH18*M22)</f>
        <v>8189.9836638649949</v>
      </c>
      <c r="BI22" s="492">
        <f>SUM(BI18*M22)</f>
        <v>8503.1018600345851</v>
      </c>
      <c r="BJ22" s="492">
        <f t="shared" si="79"/>
        <v>24519.246143383956</v>
      </c>
      <c r="BK22" s="222"/>
      <c r="BL22" s="532">
        <f>SUM(BL18*N22)</f>
        <v>10285.697917792875</v>
      </c>
      <c r="BM22" s="492">
        <f>SUM(BM18*N22)</f>
        <v>10693.084112567847</v>
      </c>
      <c r="BN22" s="492">
        <f>SUM(BN18*N22)</f>
        <v>11042.903309872703</v>
      </c>
      <c r="BO22" s="492">
        <f t="shared" si="80"/>
        <v>32021.685340233424</v>
      </c>
      <c r="BP22" s="222"/>
      <c r="BQ22" s="221"/>
      <c r="BR22" s="532">
        <f>SUM(BR18*P22)</f>
        <v>13050.744196332522</v>
      </c>
      <c r="BS22" s="492">
        <f>SUM(BS18*P22)</f>
        <v>13509.532822073328</v>
      </c>
      <c r="BT22" s="492">
        <f>SUM(BT18*P22)</f>
        <v>13902.633051392677</v>
      </c>
      <c r="BU22" s="492">
        <f t="shared" si="81"/>
        <v>40462.910069798527</v>
      </c>
      <c r="BV22" s="222"/>
      <c r="BW22" s="532">
        <f>SUM(BW18*Q22)</f>
        <v>16220.664039957035</v>
      </c>
      <c r="BX22" s="492">
        <f>SUM(BX18*Q22)</f>
        <v>16807.47104991326</v>
      </c>
      <c r="BY22" s="492">
        <f>SUM(BY18*Q22)</f>
        <v>17312.056033203633</v>
      </c>
      <c r="BZ22" s="492">
        <f t="shared" si="82"/>
        <v>50340.191123073928</v>
      </c>
      <c r="CA22" s="222"/>
      <c r="CB22" s="532">
        <f>SUM(CB18*R22)</f>
        <v>20014.631696144326</v>
      </c>
      <c r="CC22" s="492">
        <f>SUM(CC18*R22)</f>
        <v>20775.969175152015</v>
      </c>
      <c r="CD22" s="492">
        <f>SUM(CD18*R22)</f>
        <v>21434.454990892882</v>
      </c>
      <c r="CE22" s="492">
        <f t="shared" si="83"/>
        <v>62225.05586218922</v>
      </c>
      <c r="CF22" s="222"/>
      <c r="CG22" s="532">
        <f>SUM(CG18*S22)</f>
        <v>24624.56174082408</v>
      </c>
      <c r="CH22" s="492">
        <f>SUM(CH18*S22)</f>
        <v>25626.113359337225</v>
      </c>
      <c r="CI22" s="492">
        <f>SUM(CI18*S22)</f>
        <v>26499.34342304221</v>
      </c>
      <c r="CJ22" s="492">
        <f t="shared" si="84"/>
        <v>76750.018523203515</v>
      </c>
      <c r="CK22" s="222"/>
      <c r="CL22" s="55"/>
      <c r="CM22" s="55"/>
      <c r="CN22" s="55"/>
      <c r="CO22" s="55"/>
      <c r="CP22" s="55"/>
      <c r="CQ22" s="55"/>
      <c r="CR22" s="55"/>
      <c r="CS22" s="55"/>
      <c r="CT22" s="55"/>
      <c r="CU22" s="55"/>
      <c r="CV22" s="55"/>
      <c r="CW22" s="55"/>
      <c r="CX22" s="55"/>
      <c r="CY22" s="55"/>
      <c r="CZ22" s="55"/>
      <c r="DA22" s="55"/>
      <c r="DB22" s="55"/>
      <c r="DC22" s="55"/>
      <c r="DD22" s="55"/>
      <c r="DE22" s="55"/>
      <c r="DF22" s="55"/>
      <c r="DG22" s="55"/>
      <c r="DH22" s="55"/>
      <c r="DI22" s="55"/>
      <c r="DJ22" s="55"/>
      <c r="DK22" s="55"/>
      <c r="DL22" s="55"/>
      <c r="DM22" s="55"/>
      <c r="DN22" s="55"/>
      <c r="DO22" s="55"/>
      <c r="DP22" s="55"/>
      <c r="DQ22" s="55"/>
      <c r="DR22" s="55"/>
      <c r="DS22" s="55"/>
      <c r="DT22" s="55"/>
      <c r="DU22" s="55"/>
      <c r="DV22" s="55"/>
      <c r="DW22" s="55"/>
      <c r="DX22" s="55"/>
      <c r="DY22" s="55"/>
      <c r="DZ22" s="55"/>
      <c r="EA22" s="55"/>
      <c r="EB22" s="55"/>
      <c r="EC22" s="55"/>
      <c r="ED22" s="55"/>
      <c r="EE22" s="55"/>
      <c r="EF22" s="55"/>
      <c r="EG22" s="55"/>
      <c r="EH22" s="55"/>
      <c r="EI22" s="55"/>
      <c r="EJ22" s="55"/>
      <c r="EK22" s="55"/>
      <c r="EL22" s="55"/>
      <c r="EM22" s="55"/>
      <c r="EN22" s="55"/>
      <c r="EO22" s="55"/>
      <c r="EP22" s="55"/>
      <c r="EQ22" s="55"/>
      <c r="ER22" s="55"/>
      <c r="ES22" s="55"/>
      <c r="ET22" s="55"/>
      <c r="EU22" s="55"/>
      <c r="EV22" s="55"/>
      <c r="EW22" s="55"/>
      <c r="EX22" s="55"/>
      <c r="EY22" s="55"/>
      <c r="EZ22" s="55"/>
      <c r="FA22" s="55"/>
      <c r="FB22" s="55"/>
      <c r="FC22" s="55"/>
      <c r="FD22" s="55"/>
      <c r="FE22" s="55"/>
      <c r="FF22" s="55"/>
      <c r="FG22" s="55"/>
      <c r="FH22" s="55"/>
      <c r="FI22" s="55"/>
      <c r="FJ22" s="55"/>
      <c r="FK22" s="55"/>
      <c r="FL22" s="55"/>
      <c r="FM22" s="55"/>
      <c r="FN22" s="55"/>
      <c r="FO22" s="55"/>
      <c r="FP22" s="55"/>
      <c r="FQ22" s="55"/>
      <c r="FR22" s="55"/>
      <c r="FS22" s="55"/>
      <c r="FT22" s="55"/>
      <c r="FU22" s="55"/>
      <c r="FV22" s="55"/>
      <c r="FW22" s="55"/>
    </row>
    <row r="23" spans="1:179" s="57" customFormat="1" ht="9.75" customHeight="1" x14ac:dyDescent="0.15">
      <c r="A23" s="468" t="s">
        <v>146</v>
      </c>
      <c r="B23" s="300">
        <v>0</v>
      </c>
      <c r="C23" s="299">
        <v>0</v>
      </c>
      <c r="D23" s="224"/>
      <c r="E23" s="225"/>
      <c r="F23" s="215">
        <v>0</v>
      </c>
      <c r="G23" s="216">
        <v>0</v>
      </c>
      <c r="H23" s="223">
        <v>0</v>
      </c>
      <c r="I23" s="223">
        <v>0</v>
      </c>
      <c r="J23" s="217">
        <f t="shared" ref="J23:J29" si="97">SUM(AE23+AJ23+AO23+AT23)</f>
        <v>0</v>
      </c>
      <c r="K23" s="493">
        <f>SUM(IF((0*(IF(ISBLANK(E23),C23,E23)))+IF(ISBLANK(D23),B23,D23) &lt; 0, 0, (0*(IF(ISBLANK(E23),C23,E23)))+IF(ISBLANK(D23),B23,D23)))</f>
        <v>0</v>
      </c>
      <c r="L23" s="493">
        <f>SUM(IF((1*(IF(ISBLANK(E23),C23,E23)))+IF(ISBLANK(D23),B23,D23) &lt; 0, 0, (1*(IF(ISBLANK(E23),C23,E23)))+IF(ISBLANK(D23),B23,D23)))</f>
        <v>0</v>
      </c>
      <c r="M23" s="493">
        <f>SUM(IF((2*(IF(ISBLANK(E23),C23,E23)))+IF(ISBLANK(D23),B23,D23) &lt; 0, 0, (2*(IF(ISBLANK(E23),C23,E23)))+IF(ISBLANK(D23),B23,D23)))</f>
        <v>0</v>
      </c>
      <c r="N23" s="493">
        <f>SUM(IF((3*(IF(ISBLANK(E23),C23,E23)))+IF(ISBLANK(D23),B23,D23) &lt; 0, 0, (3*(IF(ISBLANK(E23),C23,E23)))+IF(ISBLANK(D23),B23,D23)))</f>
        <v>0</v>
      </c>
      <c r="O23" s="217">
        <f t="shared" si="91"/>
        <v>0</v>
      </c>
      <c r="P23" s="493">
        <f>SUM(IF((4*(IF(ISBLANK(E23),C23,E23)))+IF(ISBLANK(D23),B23,D23) &lt; 0, 0, (4*(IF(ISBLANK(E23),C23,E23)))+IF(ISBLANK(D23),B23,D23)))</f>
        <v>0</v>
      </c>
      <c r="Q23" s="493">
        <f>SUM(IF((5*(IF(ISBLANK(E23),C23,E23)))+IF(ISBLANK(D23),B23,D23) &lt; 0, 0, (5*(IF(ISBLANK(E23),C23,E23)))+IF(ISBLANK(D23),B23,D23)))</f>
        <v>0</v>
      </c>
      <c r="R23" s="493">
        <f>SUM(IF((6*(IF(ISBLANK(E23),C23,E23)))+IF(ISBLANK(D23),B23,D23) &lt; 0, 0, (6*(IF(ISBLANK(E23),C23,E23)))+IF(ISBLANK(D23),B23,D23)))</f>
        <v>0</v>
      </c>
      <c r="S23" s="493">
        <f>SUM(IF((7*(IF(ISBLANK(E23),C23,E23)))+IF(ISBLANK(D23),B23,D23) &lt; 0, 0, (7*(IF(ISBLANK(E23),C23,E23)))+IF(ISBLANK(D23),B23,D23)))</f>
        <v>0</v>
      </c>
      <c r="T23" s="218">
        <f t="shared" si="96"/>
        <v>0</v>
      </c>
      <c r="U23" s="247"/>
      <c r="V23" s="213">
        <f>SUM(IF((9*(IF(ISBLANK(E23),C23,E23)))+IF(ISBLANK(D23),B23,D23) &lt; 0, 0, (9*(IF(ISBLANK(E23),C23,E23)))+IF(ISBLANK(D23),B23,D23)))*12</f>
        <v>0</v>
      </c>
      <c r="W23" s="219">
        <f>SUM(IF((11*(IF(ISBLANK(E23),C23,E23)))+IF(ISBLANK(D23),B23,D23) &lt; 0, 0, (11*(IF(ISBLANK(E23),C23,E23)))+IF(ISBLANK(D23),B23,D23)))*12</f>
        <v>0</v>
      </c>
      <c r="X23" s="220">
        <f>SUM(IF((13*(IF(ISBLANK(E23),C23,E23)))+IF(ISBLANK(D23),B23,D23) &lt; 0, 0, (13*(IF(ISBLANK(E23),C23,E23)))+IF(ISBLANK(D23),B23,D23)))*12</f>
        <v>0</v>
      </c>
      <c r="Y23" s="221"/>
      <c r="Z23" s="578">
        <v>0</v>
      </c>
      <c r="AA23" s="617"/>
      <c r="AB23" s="532">
        <f>SUM(AB18*F23)</f>
        <v>0</v>
      </c>
      <c r="AC23" s="492">
        <f>SUM(AC18*F23)</f>
        <v>0</v>
      </c>
      <c r="AD23" s="492">
        <f>SUM(AD18*F23)</f>
        <v>0</v>
      </c>
      <c r="AE23" s="492">
        <f t="shared" si="70"/>
        <v>0</v>
      </c>
      <c r="AF23" s="222"/>
      <c r="AG23" s="532">
        <f>SUM(AG18*G23)</f>
        <v>0</v>
      </c>
      <c r="AH23" s="492">
        <f>SUM(AH18*G23)</f>
        <v>0</v>
      </c>
      <c r="AI23" s="492">
        <f>SUM(AI18*G23)</f>
        <v>0</v>
      </c>
      <c r="AJ23" s="492">
        <f t="shared" si="71"/>
        <v>0</v>
      </c>
      <c r="AK23" s="222"/>
      <c r="AL23" s="532">
        <f t="shared" si="72"/>
        <v>0</v>
      </c>
      <c r="AM23" s="492">
        <f t="shared" si="73"/>
        <v>0</v>
      </c>
      <c r="AN23" s="492">
        <f t="shared" si="74"/>
        <v>0</v>
      </c>
      <c r="AO23" s="492">
        <f t="shared" si="75"/>
        <v>0</v>
      </c>
      <c r="AP23" s="222"/>
      <c r="AQ23" s="532">
        <f>SUM(AQ18*I23)</f>
        <v>0</v>
      </c>
      <c r="AR23" s="492">
        <f>SUM(AR18*I23)</f>
        <v>0</v>
      </c>
      <c r="AS23" s="492">
        <f>SUM(AS18*I23)</f>
        <v>0</v>
      </c>
      <c r="AT23" s="492">
        <f t="shared" si="76"/>
        <v>0</v>
      </c>
      <c r="AU23" s="222"/>
      <c r="AV23" s="617"/>
      <c r="AW23" s="532">
        <f>SUM(AW18*K23)</f>
        <v>0</v>
      </c>
      <c r="AX23" s="492">
        <f>SUM(AX18*K23)</f>
        <v>0</v>
      </c>
      <c r="AY23" s="492">
        <f>SUM(AY18*K23)</f>
        <v>0</v>
      </c>
      <c r="AZ23" s="492">
        <f t="shared" si="77"/>
        <v>0</v>
      </c>
      <c r="BA23" s="222"/>
      <c r="BB23" s="532">
        <f>SUM(BB18*L23)</f>
        <v>0</v>
      </c>
      <c r="BC23" s="492">
        <f>SUM(BC18*L23)</f>
        <v>0</v>
      </c>
      <c r="BD23" s="492">
        <f>SUM(BD18*L23)</f>
        <v>0</v>
      </c>
      <c r="BE23" s="492">
        <f t="shared" si="78"/>
        <v>0</v>
      </c>
      <c r="BF23" s="222"/>
      <c r="BG23" s="532">
        <f>SUM(BG18*M23)</f>
        <v>0</v>
      </c>
      <c r="BH23" s="492">
        <f>SUM(BH18*M23)</f>
        <v>0</v>
      </c>
      <c r="BI23" s="492">
        <f>SUM(BI18*M23)</f>
        <v>0</v>
      </c>
      <c r="BJ23" s="492">
        <f t="shared" si="79"/>
        <v>0</v>
      </c>
      <c r="BK23" s="222"/>
      <c r="BL23" s="532">
        <f>SUM(BL18*N23)</f>
        <v>0</v>
      </c>
      <c r="BM23" s="492">
        <f>SUM(BM18*N23)</f>
        <v>0</v>
      </c>
      <c r="BN23" s="492">
        <f>SUM(BN18*N23)</f>
        <v>0</v>
      </c>
      <c r="BO23" s="492">
        <f t="shared" si="80"/>
        <v>0</v>
      </c>
      <c r="BP23" s="222"/>
      <c r="BQ23" s="221"/>
      <c r="BR23" s="532">
        <f>SUM(BR18*P23)</f>
        <v>0</v>
      </c>
      <c r="BS23" s="492">
        <f>SUM(BS18*P23)</f>
        <v>0</v>
      </c>
      <c r="BT23" s="492">
        <f>SUM(BT18*P23)</f>
        <v>0</v>
      </c>
      <c r="BU23" s="492">
        <f t="shared" si="81"/>
        <v>0</v>
      </c>
      <c r="BV23" s="222"/>
      <c r="BW23" s="532">
        <f>SUM(BW18*Q23)</f>
        <v>0</v>
      </c>
      <c r="BX23" s="492">
        <f>SUM(BX18*Q23)</f>
        <v>0</v>
      </c>
      <c r="BY23" s="492">
        <f>SUM(BY18*Q23)</f>
        <v>0</v>
      </c>
      <c r="BZ23" s="492">
        <f t="shared" si="82"/>
        <v>0</v>
      </c>
      <c r="CA23" s="222"/>
      <c r="CB23" s="532">
        <f>SUM(CB18*R23)</f>
        <v>0</v>
      </c>
      <c r="CC23" s="492">
        <f>SUM(CC18*R23)</f>
        <v>0</v>
      </c>
      <c r="CD23" s="492">
        <f>SUM(CD18*R23)</f>
        <v>0</v>
      </c>
      <c r="CE23" s="492">
        <f t="shared" si="83"/>
        <v>0</v>
      </c>
      <c r="CF23" s="222"/>
      <c r="CG23" s="532">
        <f>SUM(CG18*S23)</f>
        <v>0</v>
      </c>
      <c r="CH23" s="492">
        <f>SUM(CH18*S23)</f>
        <v>0</v>
      </c>
      <c r="CI23" s="492">
        <f>SUM(CI18*S23)</f>
        <v>0</v>
      </c>
      <c r="CJ23" s="492">
        <f t="shared" si="84"/>
        <v>0</v>
      </c>
      <c r="CK23" s="222"/>
      <c r="CL23" s="55"/>
      <c r="CM23" s="55"/>
      <c r="CN23" s="55"/>
      <c r="CO23" s="55"/>
      <c r="CP23" s="55"/>
      <c r="CQ23" s="55"/>
      <c r="CR23" s="55"/>
      <c r="CS23" s="55"/>
      <c r="CT23" s="55"/>
      <c r="CU23" s="55"/>
      <c r="CV23" s="55"/>
      <c r="CW23" s="55"/>
      <c r="CX23" s="55"/>
      <c r="CY23" s="55"/>
      <c r="CZ23" s="55"/>
      <c r="DA23" s="55"/>
      <c r="DB23" s="55"/>
      <c r="DC23" s="55"/>
      <c r="DD23" s="55"/>
      <c r="DE23" s="55"/>
      <c r="DF23" s="55"/>
      <c r="DG23" s="55"/>
      <c r="DH23" s="55"/>
      <c r="DI23" s="55"/>
      <c r="DJ23" s="55"/>
      <c r="DK23" s="55"/>
      <c r="DL23" s="55"/>
      <c r="DM23" s="55"/>
      <c r="DN23" s="55"/>
      <c r="DO23" s="55"/>
      <c r="DP23" s="55"/>
      <c r="DQ23" s="55"/>
      <c r="DR23" s="55"/>
      <c r="DS23" s="55"/>
      <c r="DT23" s="55"/>
      <c r="DU23" s="55"/>
      <c r="DV23" s="55"/>
      <c r="DW23" s="55"/>
      <c r="DX23" s="55"/>
      <c r="DY23" s="55"/>
      <c r="DZ23" s="55"/>
      <c r="EA23" s="55"/>
      <c r="EB23" s="55"/>
      <c r="EC23" s="55"/>
      <c r="ED23" s="55"/>
      <c r="EE23" s="55"/>
      <c r="EF23" s="55"/>
      <c r="EG23" s="55"/>
      <c r="EH23" s="55"/>
      <c r="EI23" s="55"/>
      <c r="EJ23" s="55"/>
      <c r="EK23" s="55"/>
      <c r="EL23" s="55"/>
      <c r="EM23" s="55"/>
      <c r="EN23" s="55"/>
      <c r="EO23" s="55"/>
      <c r="EP23" s="55"/>
      <c r="EQ23" s="55"/>
      <c r="ER23" s="55"/>
      <c r="ES23" s="55"/>
      <c r="ET23" s="55"/>
      <c r="EU23" s="55"/>
      <c r="EV23" s="55"/>
      <c r="EW23" s="55"/>
      <c r="EX23" s="55"/>
      <c r="EY23" s="55"/>
      <c r="EZ23" s="55"/>
      <c r="FA23" s="55"/>
      <c r="FB23" s="55"/>
      <c r="FC23" s="55"/>
      <c r="FD23" s="55"/>
      <c r="FE23" s="55"/>
      <c r="FF23" s="55"/>
      <c r="FG23" s="55"/>
      <c r="FH23" s="55"/>
      <c r="FI23" s="55"/>
      <c r="FJ23" s="55"/>
      <c r="FK23" s="55"/>
      <c r="FL23" s="55"/>
      <c r="FM23" s="55"/>
      <c r="FN23" s="55"/>
      <c r="FO23" s="55"/>
      <c r="FP23" s="55"/>
      <c r="FQ23" s="55"/>
      <c r="FR23" s="55"/>
      <c r="FS23" s="55"/>
      <c r="FT23" s="55"/>
      <c r="FU23" s="55"/>
      <c r="FV23" s="55"/>
      <c r="FW23" s="55"/>
    </row>
    <row r="24" spans="1:179" s="57" customFormat="1" ht="9.75" customHeight="1" x14ac:dyDescent="0.15">
      <c r="A24" s="468" t="s">
        <v>147</v>
      </c>
      <c r="B24" s="300">
        <v>0</v>
      </c>
      <c r="C24" s="299">
        <v>0</v>
      </c>
      <c r="D24" s="224"/>
      <c r="E24" s="225"/>
      <c r="F24" s="215">
        <v>0</v>
      </c>
      <c r="G24" s="216">
        <v>0</v>
      </c>
      <c r="H24" s="223">
        <v>0</v>
      </c>
      <c r="I24" s="223">
        <v>0</v>
      </c>
      <c r="J24" s="217">
        <f t="shared" si="97"/>
        <v>0</v>
      </c>
      <c r="K24" s="493">
        <f>SUM(IF((0*(IF(ISBLANK(E24),C24,E24)))+IF(ISBLANK(D24),B24,D24) &lt; 0, 0, (0*(IF(ISBLANK(E24),C24,E24)))+IF(ISBLANK(D24),B24,D24)))</f>
        <v>0</v>
      </c>
      <c r="L24" s="493">
        <f>SUM(IF((1*(IF(ISBLANK(E24),C24,E24)))+IF(ISBLANK(D24),B24,D24) &lt; 0, 0, (1*(IF(ISBLANK(E24),C24,E24)))+IF(ISBLANK(D24),B24,D24)))</f>
        <v>0</v>
      </c>
      <c r="M24" s="493">
        <f>SUM(IF((2*(IF(ISBLANK(E24),C24,E24)))+IF(ISBLANK(D24),B24,D24) &lt; 0, 0, (2*(IF(ISBLANK(E24),C24,E24)))+IF(ISBLANK(D24),B24,D24)))</f>
        <v>0</v>
      </c>
      <c r="N24" s="493">
        <f>SUM(IF((3*(IF(ISBLANK(E24),C24,E24)))+IF(ISBLANK(D24),B24,D24) &lt; 0, 0, (3*(IF(ISBLANK(E24),C24,E24)))+IF(ISBLANK(D24),B24,D24)))</f>
        <v>0</v>
      </c>
      <c r="O24" s="217">
        <f t="shared" si="91"/>
        <v>0</v>
      </c>
      <c r="P24" s="493">
        <f>SUM(IF((4*(IF(ISBLANK(E24),C24,E24)))+IF(ISBLANK(D24),B24,D24) &lt; 0, 0, (4*(IF(ISBLANK(E24),C24,E24)))+IF(ISBLANK(D24),B24,D24)))</f>
        <v>0</v>
      </c>
      <c r="Q24" s="493">
        <f>SUM(IF((5*(IF(ISBLANK(E24),C24,E24)))+IF(ISBLANK(D24),B24,D24) &lt; 0, 0, (5*(IF(ISBLANK(E24),C24,E24)))+IF(ISBLANK(D24),B24,D24)))</f>
        <v>0</v>
      </c>
      <c r="R24" s="493">
        <f>SUM(IF((6*(IF(ISBLANK(E24),C24,E24)))+IF(ISBLANK(D24),B24,D24) &lt; 0, 0, (6*(IF(ISBLANK(E24),C24,E24)))+IF(ISBLANK(D24),B24,D24)))</f>
        <v>0</v>
      </c>
      <c r="S24" s="493">
        <f>SUM(IF((7*(IF(ISBLANK(E24),C24,E24)))+IF(ISBLANK(D24),B24,D24) &lt; 0, 0, (7*(IF(ISBLANK(E24),C24,E24)))+IF(ISBLANK(D24),B24,D24)))</f>
        <v>0</v>
      </c>
      <c r="T24" s="218">
        <f t="shared" si="96"/>
        <v>0</v>
      </c>
      <c r="U24" s="247"/>
      <c r="V24" s="213">
        <f>SUM(IF((9*(IF(ISBLANK(E24),C24,E24)))+IF(ISBLANK(D24),B24,D24) &lt; 0, 0, (9*(IF(ISBLANK(E24),C24,E24)))+IF(ISBLANK(D24),B24,D24)))*12</f>
        <v>0</v>
      </c>
      <c r="W24" s="219">
        <f>SUM(IF((11*(IF(ISBLANK(E24),C24,E24)))+IF(ISBLANK(D24),B24,D24) &lt; 0, 0, (11*(IF(ISBLANK(E24),C24,E24)))+IF(ISBLANK(D24),B24,D24)))*12</f>
        <v>0</v>
      </c>
      <c r="X24" s="220">
        <f>SUM(IF((13*(IF(ISBLANK(E24),C24,E24)))+IF(ISBLANK(D24),B24,D24) &lt; 0, 0, (13*(IF(ISBLANK(E24),C24,E24)))+IF(ISBLANK(D24),B24,D24)))*12</f>
        <v>0</v>
      </c>
      <c r="Y24" s="221"/>
      <c r="Z24" s="578">
        <v>0</v>
      </c>
      <c r="AA24" s="617"/>
      <c r="AB24" s="532">
        <f>SUM(AB18*F24)</f>
        <v>0</v>
      </c>
      <c r="AC24" s="492">
        <f>SUM(AC18*F24)</f>
        <v>0</v>
      </c>
      <c r="AD24" s="492">
        <f>SUM(AD18*F24)</f>
        <v>0</v>
      </c>
      <c r="AE24" s="492">
        <f t="shared" si="70"/>
        <v>0</v>
      </c>
      <c r="AF24" s="222"/>
      <c r="AG24" s="532">
        <f>SUM(AG18*G24)</f>
        <v>0</v>
      </c>
      <c r="AH24" s="492">
        <f>SUM(AH18*G24)</f>
        <v>0</v>
      </c>
      <c r="AI24" s="492">
        <f>SUM(AI18*G24)</f>
        <v>0</v>
      </c>
      <c r="AJ24" s="492">
        <f t="shared" si="71"/>
        <v>0</v>
      </c>
      <c r="AK24" s="222"/>
      <c r="AL24" s="532">
        <f t="shared" si="72"/>
        <v>0</v>
      </c>
      <c r="AM24" s="492">
        <f t="shared" si="73"/>
        <v>0</v>
      </c>
      <c r="AN24" s="492">
        <f t="shared" si="74"/>
        <v>0</v>
      </c>
      <c r="AO24" s="492">
        <f t="shared" si="75"/>
        <v>0</v>
      </c>
      <c r="AP24" s="222"/>
      <c r="AQ24" s="532">
        <f>SUM(AQ18*I24)</f>
        <v>0</v>
      </c>
      <c r="AR24" s="492">
        <f>SUM(AR18*I24)</f>
        <v>0</v>
      </c>
      <c r="AS24" s="492">
        <f>SUM(AS18*I24)</f>
        <v>0</v>
      </c>
      <c r="AT24" s="492">
        <f t="shared" si="76"/>
        <v>0</v>
      </c>
      <c r="AU24" s="222"/>
      <c r="AV24" s="617"/>
      <c r="AW24" s="532">
        <f>SUM(AW18*K24)</f>
        <v>0</v>
      </c>
      <c r="AX24" s="492">
        <f>SUM(AX18*K24)</f>
        <v>0</v>
      </c>
      <c r="AY24" s="492">
        <f>SUM(AY18*K24)</f>
        <v>0</v>
      </c>
      <c r="AZ24" s="492">
        <f t="shared" si="77"/>
        <v>0</v>
      </c>
      <c r="BA24" s="222"/>
      <c r="BB24" s="532">
        <f>SUM(BB18*L24)</f>
        <v>0</v>
      </c>
      <c r="BC24" s="492">
        <f>SUM(BC18*L24)</f>
        <v>0</v>
      </c>
      <c r="BD24" s="492">
        <f>SUM(BD18*L24)</f>
        <v>0</v>
      </c>
      <c r="BE24" s="492">
        <f t="shared" si="78"/>
        <v>0</v>
      </c>
      <c r="BF24" s="222"/>
      <c r="BG24" s="532">
        <f>SUM(BG18*M24)</f>
        <v>0</v>
      </c>
      <c r="BH24" s="492">
        <f>SUM(BH18*M24)</f>
        <v>0</v>
      </c>
      <c r="BI24" s="492">
        <f>SUM(BI18*M24)</f>
        <v>0</v>
      </c>
      <c r="BJ24" s="492">
        <f t="shared" si="79"/>
        <v>0</v>
      </c>
      <c r="BK24" s="222"/>
      <c r="BL24" s="532">
        <f>SUM(BL18*N24)</f>
        <v>0</v>
      </c>
      <c r="BM24" s="492">
        <f>SUM(BM18*N24)</f>
        <v>0</v>
      </c>
      <c r="BN24" s="492">
        <f>SUM(BN18*N24)</f>
        <v>0</v>
      </c>
      <c r="BO24" s="492">
        <f t="shared" si="80"/>
        <v>0</v>
      </c>
      <c r="BP24" s="222"/>
      <c r="BQ24" s="221"/>
      <c r="BR24" s="532">
        <f>SUM(BR18*P24)</f>
        <v>0</v>
      </c>
      <c r="BS24" s="492">
        <f>SUM(BS18*P24)</f>
        <v>0</v>
      </c>
      <c r="BT24" s="492">
        <f>SUM(BT18*P24)</f>
        <v>0</v>
      </c>
      <c r="BU24" s="492">
        <f t="shared" si="81"/>
        <v>0</v>
      </c>
      <c r="BV24" s="222"/>
      <c r="BW24" s="532">
        <f>SUM(BW18*Q24)</f>
        <v>0</v>
      </c>
      <c r="BX24" s="492">
        <f>SUM(BX18*Q24)</f>
        <v>0</v>
      </c>
      <c r="BY24" s="492">
        <f>SUM(BY18*Q24)</f>
        <v>0</v>
      </c>
      <c r="BZ24" s="492">
        <f t="shared" si="82"/>
        <v>0</v>
      </c>
      <c r="CA24" s="222"/>
      <c r="CB24" s="532">
        <f>SUM(CB18*R24)</f>
        <v>0</v>
      </c>
      <c r="CC24" s="492">
        <f>SUM(CC18*R24)</f>
        <v>0</v>
      </c>
      <c r="CD24" s="492">
        <f>SUM(CD18*R24)</f>
        <v>0</v>
      </c>
      <c r="CE24" s="492">
        <f t="shared" si="83"/>
        <v>0</v>
      </c>
      <c r="CF24" s="222"/>
      <c r="CG24" s="532">
        <f>SUM(CG18*S24)</f>
        <v>0</v>
      </c>
      <c r="CH24" s="492">
        <f>SUM(CH18*S24)</f>
        <v>0</v>
      </c>
      <c r="CI24" s="492">
        <f>SUM(CI18*S24)</f>
        <v>0</v>
      </c>
      <c r="CJ24" s="492">
        <f t="shared" si="84"/>
        <v>0</v>
      </c>
      <c r="CK24" s="222"/>
      <c r="CL24" s="55"/>
      <c r="CM24" s="55"/>
      <c r="CN24" s="55"/>
      <c r="CO24" s="55"/>
      <c r="CP24" s="55"/>
      <c r="CQ24" s="55"/>
      <c r="CR24" s="55"/>
      <c r="CS24" s="55"/>
      <c r="CT24" s="55"/>
      <c r="CU24" s="55"/>
      <c r="CV24" s="55"/>
      <c r="CW24" s="55"/>
      <c r="CX24" s="55"/>
      <c r="CY24" s="55"/>
      <c r="CZ24" s="55"/>
      <c r="DA24" s="55"/>
      <c r="DB24" s="55"/>
      <c r="DC24" s="55"/>
      <c r="DD24" s="55"/>
      <c r="DE24" s="55"/>
      <c r="DF24" s="55"/>
      <c r="DG24" s="55"/>
      <c r="DH24" s="55"/>
      <c r="DI24" s="55"/>
      <c r="DJ24" s="55"/>
      <c r="DK24" s="55"/>
      <c r="DL24" s="55"/>
      <c r="DM24" s="55"/>
      <c r="DN24" s="55"/>
      <c r="DO24" s="55"/>
      <c r="DP24" s="55"/>
      <c r="DQ24" s="55"/>
      <c r="DR24" s="55"/>
      <c r="DS24" s="55"/>
      <c r="DT24" s="55"/>
      <c r="DU24" s="55"/>
      <c r="DV24" s="55"/>
      <c r="DW24" s="55"/>
      <c r="DX24" s="55"/>
      <c r="DY24" s="55"/>
      <c r="DZ24" s="55"/>
      <c r="EA24" s="55"/>
      <c r="EB24" s="55"/>
      <c r="EC24" s="55"/>
      <c r="ED24" s="55"/>
      <c r="EE24" s="55"/>
      <c r="EF24" s="55"/>
      <c r="EG24" s="55"/>
      <c r="EH24" s="55"/>
      <c r="EI24" s="55"/>
      <c r="EJ24" s="55"/>
      <c r="EK24" s="55"/>
      <c r="EL24" s="55"/>
      <c r="EM24" s="55"/>
      <c r="EN24" s="55"/>
      <c r="EO24" s="55"/>
      <c r="EP24" s="55"/>
      <c r="EQ24" s="55"/>
      <c r="ER24" s="55"/>
      <c r="ES24" s="55"/>
      <c r="ET24" s="55"/>
      <c r="EU24" s="55"/>
      <c r="EV24" s="55"/>
      <c r="EW24" s="55"/>
      <c r="EX24" s="55"/>
      <c r="EY24" s="55"/>
      <c r="EZ24" s="55"/>
      <c r="FA24" s="55"/>
      <c r="FB24" s="55"/>
      <c r="FC24" s="55"/>
      <c r="FD24" s="55"/>
      <c r="FE24" s="55"/>
      <c r="FF24" s="55"/>
      <c r="FG24" s="55"/>
      <c r="FH24" s="55"/>
      <c r="FI24" s="55"/>
      <c r="FJ24" s="55"/>
      <c r="FK24" s="55"/>
      <c r="FL24" s="55"/>
      <c r="FM24" s="55"/>
      <c r="FN24" s="55"/>
      <c r="FO24" s="55"/>
      <c r="FP24" s="55"/>
      <c r="FQ24" s="55"/>
      <c r="FR24" s="55"/>
      <c r="FS24" s="55"/>
      <c r="FT24" s="55"/>
      <c r="FU24" s="55"/>
      <c r="FV24" s="55"/>
      <c r="FW24" s="55"/>
    </row>
    <row r="25" spans="1:179" s="57" customFormat="1" ht="9.75" customHeight="1" x14ac:dyDescent="0.15">
      <c r="A25" s="468" t="s">
        <v>148</v>
      </c>
      <c r="B25" s="300">
        <v>0</v>
      </c>
      <c r="C25" s="299">
        <v>0</v>
      </c>
      <c r="D25" s="224"/>
      <c r="E25" s="225"/>
      <c r="F25" s="215">
        <v>0</v>
      </c>
      <c r="G25" s="216">
        <v>0</v>
      </c>
      <c r="H25" s="223">
        <v>0</v>
      </c>
      <c r="I25" s="223">
        <v>0</v>
      </c>
      <c r="J25" s="217">
        <f t="shared" si="97"/>
        <v>0</v>
      </c>
      <c r="K25" s="493">
        <f>SUM(IF((0*(IF(ISBLANK(E25),C25,E25)))+IF(ISBLANK(D25),B25,D25) &lt; 0, 0, (0*(IF(ISBLANK(E25),C25,E25)))+IF(ISBLANK(D25),B25,D25)))</f>
        <v>0</v>
      </c>
      <c r="L25" s="493">
        <f>SUM(IF((1*(IF(ISBLANK(E25),C25,E25)))+IF(ISBLANK(D25),B25,D25) &lt; 0, 0, (1*(IF(ISBLANK(E25),C25,E25)))+IF(ISBLANK(D25),B25,D25)))</f>
        <v>0</v>
      </c>
      <c r="M25" s="493">
        <f>SUM(IF((2*(IF(ISBLANK(E25),C25,E25)))+IF(ISBLANK(D25),B25,D25) &lt; 0, 0, (2*(IF(ISBLANK(E25),C25,E25)))+IF(ISBLANK(D25),B25,D25)))</f>
        <v>0</v>
      </c>
      <c r="N25" s="493">
        <f>SUM(IF((3*(IF(ISBLANK(E25),C25,E25)))+IF(ISBLANK(D25),B25,D25) &lt; 0, 0, (3*(IF(ISBLANK(E25),C25,E25)))+IF(ISBLANK(D25),B25,D25)))</f>
        <v>0</v>
      </c>
      <c r="O25" s="217">
        <f t="shared" si="91"/>
        <v>0</v>
      </c>
      <c r="P25" s="493">
        <f>SUM(IF((4*(IF(ISBLANK(E25),C25,E25)))+IF(ISBLANK(D25),B25,D25) &lt; 0, 0, (4*(IF(ISBLANK(E25),C25,E25)))+IF(ISBLANK(D25),B25,D25)))</f>
        <v>0</v>
      </c>
      <c r="Q25" s="493">
        <f>SUM(IF((5*(IF(ISBLANK(E25),C25,E25)))+IF(ISBLANK(D25),B25,D25) &lt; 0, 0, (5*(IF(ISBLANK(E25),C25,E25)))+IF(ISBLANK(D25),B25,D25)))</f>
        <v>0</v>
      </c>
      <c r="R25" s="493">
        <f>SUM(IF((6*(IF(ISBLANK(E25),C25,E25)))+IF(ISBLANK(D25),B25,D25) &lt; 0, 0, (6*(IF(ISBLANK(E25),C25,E25)))+IF(ISBLANK(D25),B25,D25)))</f>
        <v>0</v>
      </c>
      <c r="S25" s="493">
        <f>SUM(IF((7*(IF(ISBLANK(E25),C25,E25)))+IF(ISBLANK(D25),B25,D25) &lt; 0, 0, (7*(IF(ISBLANK(E25),C25,E25)))+IF(ISBLANK(D25),B25,D25)))</f>
        <v>0</v>
      </c>
      <c r="T25" s="218">
        <f t="shared" si="96"/>
        <v>0</v>
      </c>
      <c r="U25" s="247"/>
      <c r="V25" s="213">
        <f>SUM(IF((9*(IF(ISBLANK(E25),C25,E25)))+IF(ISBLANK(D25),B25,D25) &lt; 0, 0, (9*(IF(ISBLANK(E25),C25,E25)))+IF(ISBLANK(D25),B25,D25)))*12</f>
        <v>0</v>
      </c>
      <c r="W25" s="219">
        <f>SUM(IF((11*(IF(ISBLANK(E25),C25,E25)))+IF(ISBLANK(D25),B25,D25) &lt; 0, 0, (11*(IF(ISBLANK(E25),C25,E25)))+IF(ISBLANK(D25),B25,D25)))*12</f>
        <v>0</v>
      </c>
      <c r="X25" s="220">
        <f>SUM(IF((13*(IF(ISBLANK(E25),C25,E25)))+IF(ISBLANK(D25),B25,D25) &lt; 0, 0, (13*(IF(ISBLANK(E25),C25,E25)))+IF(ISBLANK(D25),B25,D25)))*12</f>
        <v>0</v>
      </c>
      <c r="Y25" s="221"/>
      <c r="Z25" s="578">
        <v>0</v>
      </c>
      <c r="AA25" s="617"/>
      <c r="AB25" s="532">
        <f>SUM(AB18*F25)</f>
        <v>0</v>
      </c>
      <c r="AC25" s="492">
        <f>SUM(AC18*F25)</f>
        <v>0</v>
      </c>
      <c r="AD25" s="492">
        <f>SUM(AD18*F25)</f>
        <v>0</v>
      </c>
      <c r="AE25" s="492">
        <f t="shared" si="70"/>
        <v>0</v>
      </c>
      <c r="AF25" s="222"/>
      <c r="AG25" s="532">
        <f>SUM(AG18*G25)</f>
        <v>0</v>
      </c>
      <c r="AH25" s="492">
        <f>SUM(AH18*G25)</f>
        <v>0</v>
      </c>
      <c r="AI25" s="492">
        <f>SUM(AI18*G25)</f>
        <v>0</v>
      </c>
      <c r="AJ25" s="492">
        <f t="shared" si="71"/>
        <v>0</v>
      </c>
      <c r="AK25" s="222"/>
      <c r="AL25" s="532">
        <f t="shared" si="72"/>
        <v>0</v>
      </c>
      <c r="AM25" s="492">
        <f t="shared" si="73"/>
        <v>0</v>
      </c>
      <c r="AN25" s="492">
        <f t="shared" si="74"/>
        <v>0</v>
      </c>
      <c r="AO25" s="492">
        <f t="shared" si="75"/>
        <v>0</v>
      </c>
      <c r="AP25" s="222"/>
      <c r="AQ25" s="532">
        <f>SUM(AQ18*I25)</f>
        <v>0</v>
      </c>
      <c r="AR25" s="492">
        <f>SUM(AR18*I25)</f>
        <v>0</v>
      </c>
      <c r="AS25" s="492">
        <f>SUM(AS18*I25)</f>
        <v>0</v>
      </c>
      <c r="AT25" s="492">
        <f t="shared" si="76"/>
        <v>0</v>
      </c>
      <c r="AU25" s="222"/>
      <c r="AV25" s="617"/>
      <c r="AW25" s="532">
        <f>SUM(AW18*K25)</f>
        <v>0</v>
      </c>
      <c r="AX25" s="492">
        <f>SUM(AX18*K25)</f>
        <v>0</v>
      </c>
      <c r="AY25" s="492">
        <f>SUM(AY18*K25)</f>
        <v>0</v>
      </c>
      <c r="AZ25" s="492">
        <f t="shared" si="77"/>
        <v>0</v>
      </c>
      <c r="BA25" s="222"/>
      <c r="BB25" s="532">
        <f>SUM(BB18*L25)</f>
        <v>0</v>
      </c>
      <c r="BC25" s="492">
        <f>SUM(BC18*L25)</f>
        <v>0</v>
      </c>
      <c r="BD25" s="492">
        <f>SUM(BD18*L25)</f>
        <v>0</v>
      </c>
      <c r="BE25" s="492">
        <f t="shared" si="78"/>
        <v>0</v>
      </c>
      <c r="BF25" s="222"/>
      <c r="BG25" s="532">
        <f>SUM(BG18*M25)</f>
        <v>0</v>
      </c>
      <c r="BH25" s="492">
        <f>SUM(BH18*M25)</f>
        <v>0</v>
      </c>
      <c r="BI25" s="492">
        <f>SUM(BI18*M25)</f>
        <v>0</v>
      </c>
      <c r="BJ25" s="492">
        <f t="shared" si="79"/>
        <v>0</v>
      </c>
      <c r="BK25" s="222"/>
      <c r="BL25" s="532">
        <f>SUM(BL18*N25)</f>
        <v>0</v>
      </c>
      <c r="BM25" s="492">
        <f>SUM(BM18*N25)</f>
        <v>0</v>
      </c>
      <c r="BN25" s="492">
        <f>SUM(BN18*N25)</f>
        <v>0</v>
      </c>
      <c r="BO25" s="492">
        <f t="shared" si="80"/>
        <v>0</v>
      </c>
      <c r="BP25" s="222"/>
      <c r="BQ25" s="221"/>
      <c r="BR25" s="532">
        <f>SUM(BR18*P25)</f>
        <v>0</v>
      </c>
      <c r="BS25" s="492">
        <f>SUM(BS18*P25)</f>
        <v>0</v>
      </c>
      <c r="BT25" s="492">
        <f>SUM(BT18*P25)</f>
        <v>0</v>
      </c>
      <c r="BU25" s="492">
        <f t="shared" si="81"/>
        <v>0</v>
      </c>
      <c r="BV25" s="222"/>
      <c r="BW25" s="532">
        <f>SUM(BW18*Q25)</f>
        <v>0</v>
      </c>
      <c r="BX25" s="492">
        <f>SUM(BX18*Q25)</f>
        <v>0</v>
      </c>
      <c r="BY25" s="492">
        <f>SUM(BY18*Q25)</f>
        <v>0</v>
      </c>
      <c r="BZ25" s="492">
        <f t="shared" si="82"/>
        <v>0</v>
      </c>
      <c r="CA25" s="222"/>
      <c r="CB25" s="532">
        <f>SUM(CB18*R25)</f>
        <v>0</v>
      </c>
      <c r="CC25" s="492">
        <f>SUM(CC18*R25)</f>
        <v>0</v>
      </c>
      <c r="CD25" s="492">
        <f>SUM(CD18*R25)</f>
        <v>0</v>
      </c>
      <c r="CE25" s="492">
        <f t="shared" si="83"/>
        <v>0</v>
      </c>
      <c r="CF25" s="222"/>
      <c r="CG25" s="532">
        <f>SUM(CG18*S25)</f>
        <v>0</v>
      </c>
      <c r="CH25" s="492">
        <f>SUM(CH18*S25)</f>
        <v>0</v>
      </c>
      <c r="CI25" s="492">
        <f>SUM(CI18*S25)</f>
        <v>0</v>
      </c>
      <c r="CJ25" s="492">
        <f t="shared" si="84"/>
        <v>0</v>
      </c>
      <c r="CK25" s="222"/>
      <c r="CL25" s="55"/>
      <c r="CM25" s="55"/>
      <c r="CN25" s="55"/>
      <c r="CO25" s="55"/>
      <c r="CP25" s="55"/>
      <c r="CQ25" s="55"/>
      <c r="CR25" s="55"/>
      <c r="CS25" s="55"/>
      <c r="CT25" s="55"/>
      <c r="CU25" s="55"/>
      <c r="CV25" s="55"/>
      <c r="CW25" s="55"/>
      <c r="CX25" s="55"/>
      <c r="CY25" s="55"/>
      <c r="CZ25" s="55"/>
      <c r="DA25" s="55"/>
      <c r="DB25" s="55"/>
      <c r="DC25" s="55"/>
      <c r="DD25" s="55"/>
      <c r="DE25" s="55"/>
      <c r="DF25" s="55"/>
      <c r="DG25" s="55"/>
      <c r="DH25" s="55"/>
      <c r="DI25" s="55"/>
      <c r="DJ25" s="55"/>
      <c r="DK25" s="55"/>
      <c r="DL25" s="55"/>
      <c r="DM25" s="55"/>
      <c r="DN25" s="55"/>
      <c r="DO25" s="55"/>
      <c r="DP25" s="55"/>
      <c r="DQ25" s="55"/>
      <c r="DR25" s="55"/>
      <c r="DS25" s="55"/>
      <c r="DT25" s="55"/>
      <c r="DU25" s="55"/>
      <c r="DV25" s="55"/>
      <c r="DW25" s="55"/>
      <c r="DX25" s="55"/>
      <c r="DY25" s="55"/>
      <c r="DZ25" s="55"/>
      <c r="EA25" s="55"/>
      <c r="EB25" s="55"/>
      <c r="EC25" s="55"/>
      <c r="ED25" s="55"/>
      <c r="EE25" s="55"/>
      <c r="EF25" s="55"/>
      <c r="EG25" s="55"/>
      <c r="EH25" s="55"/>
      <c r="EI25" s="55"/>
      <c r="EJ25" s="55"/>
      <c r="EK25" s="55"/>
      <c r="EL25" s="55"/>
      <c r="EM25" s="55"/>
      <c r="EN25" s="55"/>
      <c r="EO25" s="55"/>
      <c r="EP25" s="55"/>
      <c r="EQ25" s="55"/>
      <c r="ER25" s="55"/>
      <c r="ES25" s="55"/>
      <c r="ET25" s="55"/>
      <c r="EU25" s="55"/>
      <c r="EV25" s="55"/>
      <c r="EW25" s="55"/>
      <c r="EX25" s="55"/>
      <c r="EY25" s="55"/>
      <c r="EZ25" s="55"/>
      <c r="FA25" s="55"/>
      <c r="FB25" s="55"/>
      <c r="FC25" s="55"/>
      <c r="FD25" s="55"/>
      <c r="FE25" s="55"/>
      <c r="FF25" s="55"/>
      <c r="FG25" s="55"/>
      <c r="FH25" s="55"/>
      <c r="FI25" s="55"/>
      <c r="FJ25" s="55"/>
      <c r="FK25" s="55"/>
      <c r="FL25" s="55"/>
      <c r="FM25" s="55"/>
      <c r="FN25" s="55"/>
      <c r="FO25" s="55"/>
      <c r="FP25" s="55"/>
      <c r="FQ25" s="55"/>
      <c r="FR25" s="55"/>
      <c r="FS25" s="55"/>
      <c r="FT25" s="55"/>
      <c r="FU25" s="55"/>
      <c r="FV25" s="55"/>
      <c r="FW25" s="55"/>
    </row>
    <row r="26" spans="1:179" s="57" customFormat="1" ht="9.75" customHeight="1" x14ac:dyDescent="0.15">
      <c r="A26" s="468" t="s">
        <v>149</v>
      </c>
      <c r="B26" s="300">
        <v>0</v>
      </c>
      <c r="C26" s="299">
        <v>0</v>
      </c>
      <c r="D26" s="224"/>
      <c r="E26" s="225"/>
      <c r="F26" s="215">
        <v>0</v>
      </c>
      <c r="G26" s="216">
        <v>0</v>
      </c>
      <c r="H26" s="223">
        <v>0</v>
      </c>
      <c r="I26" s="223">
        <v>0</v>
      </c>
      <c r="J26" s="217">
        <f t="shared" si="97"/>
        <v>0</v>
      </c>
      <c r="K26" s="493">
        <f>SUM(IF((0*(IF(ISBLANK(E26),C26,E26)))+IF(ISBLANK(D26),B26,D26) &lt; 0, 0, (0*(IF(ISBLANK(E26),C26,E26)))+IF(ISBLANK(D26),B26,D26)))</f>
        <v>0</v>
      </c>
      <c r="L26" s="493">
        <f>SUM(IF((1*(IF(ISBLANK(E26),C26,E26)))+IF(ISBLANK(D26),B26,D26) &lt; 0, 0, (1*(IF(ISBLANK(E26),C26,E26)))+IF(ISBLANK(D26),B26,D26)))</f>
        <v>0</v>
      </c>
      <c r="M26" s="493">
        <f>SUM(IF((2*(IF(ISBLANK(E26),C26,E26)))+IF(ISBLANK(D26),B26,D26) &lt; 0, 0, (2*(IF(ISBLANK(E26),C26,E26)))+IF(ISBLANK(D26),B26,D26)))</f>
        <v>0</v>
      </c>
      <c r="N26" s="493">
        <f>SUM(IF((3*(IF(ISBLANK(E26),C26,E26)))+IF(ISBLANK(D26),B26,D26) &lt; 0, 0, (3*(IF(ISBLANK(E26),C26,E26)))+IF(ISBLANK(D26),B26,D26)))</f>
        <v>0</v>
      </c>
      <c r="O26" s="217">
        <f t="shared" si="91"/>
        <v>0</v>
      </c>
      <c r="P26" s="493">
        <f>SUM(IF((4*(IF(ISBLANK(E26),C26,E26)))+IF(ISBLANK(D26),B26,D26) &lt; 0, 0, (4*(IF(ISBLANK(E26),C26,E26)))+IF(ISBLANK(D26),B26,D26)))</f>
        <v>0</v>
      </c>
      <c r="Q26" s="493">
        <f>SUM(IF((5*(IF(ISBLANK(E26),C26,E26)))+IF(ISBLANK(D26),B26,D26) &lt; 0, 0, (5*(IF(ISBLANK(E26),C26,E26)))+IF(ISBLANK(D26),B26,D26)))</f>
        <v>0</v>
      </c>
      <c r="R26" s="493">
        <f>SUM(IF((6*(IF(ISBLANK(E26),C26,E26)))+IF(ISBLANK(D26),B26,D26) &lt; 0, 0, (6*(IF(ISBLANK(E26),C26,E26)))+IF(ISBLANK(D26),B26,D26)))</f>
        <v>0</v>
      </c>
      <c r="S26" s="493">
        <f>SUM(IF((7*(IF(ISBLANK(E26),C26,E26)))+IF(ISBLANK(D26),B26,D26) &lt; 0, 0, (7*(IF(ISBLANK(E26),C26,E26)))+IF(ISBLANK(D26),B26,D26)))</f>
        <v>0</v>
      </c>
      <c r="T26" s="218">
        <f t="shared" si="96"/>
        <v>0</v>
      </c>
      <c r="U26" s="247"/>
      <c r="V26" s="213">
        <f>SUM(IF((9*(IF(ISBLANK(E26),C26,E26)))+IF(ISBLANK(D26),B26,D26) &lt; 0, 0, (9*(IF(ISBLANK(E26),C26,E26)))+IF(ISBLANK(D26),B26,D26)))*12</f>
        <v>0</v>
      </c>
      <c r="W26" s="219">
        <f>SUM(IF((11*(IF(ISBLANK(E26),C26,E26)))+IF(ISBLANK(D26),B26,D26) &lt; 0, 0, (11*(IF(ISBLANK(E26),C26,E26)))+IF(ISBLANK(D26),B26,D26)))*12</f>
        <v>0</v>
      </c>
      <c r="X26" s="220">
        <f>SUM(IF((13*(IF(ISBLANK(E26),C26,E26)))+IF(ISBLANK(D26),B26,D26) &lt; 0, 0, (13*(IF(ISBLANK(E26),C26,E26)))+IF(ISBLANK(D26),B26,D26)))*12</f>
        <v>0</v>
      </c>
      <c r="Y26" s="221"/>
      <c r="Z26" s="578">
        <v>0</v>
      </c>
      <c r="AA26" s="617"/>
      <c r="AB26" s="532">
        <f>SUM(AB18*F26)</f>
        <v>0</v>
      </c>
      <c r="AC26" s="492">
        <f>SUM(AC18*F26)</f>
        <v>0</v>
      </c>
      <c r="AD26" s="492">
        <f>SUM(AD18*F26)</f>
        <v>0</v>
      </c>
      <c r="AE26" s="492">
        <f t="shared" si="70"/>
        <v>0</v>
      </c>
      <c r="AF26" s="222"/>
      <c r="AG26" s="532">
        <f>SUM(AG18*G26)</f>
        <v>0</v>
      </c>
      <c r="AH26" s="492">
        <f>SUM(AH18*G26)</f>
        <v>0</v>
      </c>
      <c r="AI26" s="492">
        <f>SUM(AI18*G26)</f>
        <v>0</v>
      </c>
      <c r="AJ26" s="492">
        <f t="shared" si="71"/>
        <v>0</v>
      </c>
      <c r="AK26" s="222"/>
      <c r="AL26" s="532">
        <f t="shared" si="72"/>
        <v>0</v>
      </c>
      <c r="AM26" s="492">
        <f t="shared" si="73"/>
        <v>0</v>
      </c>
      <c r="AN26" s="492">
        <f t="shared" si="74"/>
        <v>0</v>
      </c>
      <c r="AO26" s="492">
        <f t="shared" si="75"/>
        <v>0</v>
      </c>
      <c r="AP26" s="222"/>
      <c r="AQ26" s="532">
        <f>SUM(AQ18*I26)</f>
        <v>0</v>
      </c>
      <c r="AR26" s="492">
        <f>SUM(AR18*I26)</f>
        <v>0</v>
      </c>
      <c r="AS26" s="492">
        <f>SUM(AS18*I26)</f>
        <v>0</v>
      </c>
      <c r="AT26" s="492">
        <f t="shared" si="76"/>
        <v>0</v>
      </c>
      <c r="AU26" s="222"/>
      <c r="AV26" s="617"/>
      <c r="AW26" s="532">
        <f>SUM(AW18*K26)</f>
        <v>0</v>
      </c>
      <c r="AX26" s="492">
        <f>SUM(AX18*K26)</f>
        <v>0</v>
      </c>
      <c r="AY26" s="492">
        <f>SUM(AY18*K26)</f>
        <v>0</v>
      </c>
      <c r="AZ26" s="492">
        <f t="shared" si="77"/>
        <v>0</v>
      </c>
      <c r="BA26" s="222"/>
      <c r="BB26" s="532">
        <f>SUM(BB18*L26)</f>
        <v>0</v>
      </c>
      <c r="BC26" s="492">
        <f>SUM(BC18*L26)</f>
        <v>0</v>
      </c>
      <c r="BD26" s="492">
        <f>SUM(BD18*L26)</f>
        <v>0</v>
      </c>
      <c r="BE26" s="492">
        <f t="shared" si="78"/>
        <v>0</v>
      </c>
      <c r="BF26" s="222"/>
      <c r="BG26" s="532">
        <f>SUM(BG18*M26)</f>
        <v>0</v>
      </c>
      <c r="BH26" s="492">
        <f>SUM(BH18*M26)</f>
        <v>0</v>
      </c>
      <c r="BI26" s="492">
        <f>SUM(BI18*M26)</f>
        <v>0</v>
      </c>
      <c r="BJ26" s="492">
        <f t="shared" si="79"/>
        <v>0</v>
      </c>
      <c r="BK26" s="222"/>
      <c r="BL26" s="532">
        <f>SUM(BL18*N26)</f>
        <v>0</v>
      </c>
      <c r="BM26" s="492">
        <f>SUM(BM18*N26)</f>
        <v>0</v>
      </c>
      <c r="BN26" s="492">
        <f>SUM(BN18*N26)</f>
        <v>0</v>
      </c>
      <c r="BO26" s="492">
        <f t="shared" si="80"/>
        <v>0</v>
      </c>
      <c r="BP26" s="222"/>
      <c r="BQ26" s="221"/>
      <c r="BR26" s="532">
        <f>SUM(BR18*P26)</f>
        <v>0</v>
      </c>
      <c r="BS26" s="492">
        <f>SUM(BS18*P26)</f>
        <v>0</v>
      </c>
      <c r="BT26" s="492">
        <f>SUM(BT18*P26)</f>
        <v>0</v>
      </c>
      <c r="BU26" s="492">
        <f t="shared" si="81"/>
        <v>0</v>
      </c>
      <c r="BV26" s="222"/>
      <c r="BW26" s="532">
        <f>SUM(BW18*Q26)</f>
        <v>0</v>
      </c>
      <c r="BX26" s="492">
        <f>SUM(BX18*Q26)</f>
        <v>0</v>
      </c>
      <c r="BY26" s="492">
        <f>SUM(BY18*Q26)</f>
        <v>0</v>
      </c>
      <c r="BZ26" s="492">
        <f t="shared" si="82"/>
        <v>0</v>
      </c>
      <c r="CA26" s="222"/>
      <c r="CB26" s="532">
        <f>SUM(CB18*R26)</f>
        <v>0</v>
      </c>
      <c r="CC26" s="492">
        <f>SUM(CC18*R26)</f>
        <v>0</v>
      </c>
      <c r="CD26" s="492">
        <f>SUM(CD18*R26)</f>
        <v>0</v>
      </c>
      <c r="CE26" s="492">
        <f t="shared" si="83"/>
        <v>0</v>
      </c>
      <c r="CF26" s="222"/>
      <c r="CG26" s="532">
        <f>SUM(CG18*S26)</f>
        <v>0</v>
      </c>
      <c r="CH26" s="492">
        <f>SUM(CH18*S26)</f>
        <v>0</v>
      </c>
      <c r="CI26" s="492">
        <f>SUM(CI18*S26)</f>
        <v>0</v>
      </c>
      <c r="CJ26" s="492">
        <f t="shared" si="84"/>
        <v>0</v>
      </c>
      <c r="CK26" s="222"/>
      <c r="CL26" s="55"/>
      <c r="CM26" s="55"/>
      <c r="CN26" s="55"/>
      <c r="CO26" s="55"/>
      <c r="CP26" s="55"/>
      <c r="CQ26" s="55"/>
      <c r="CR26" s="55"/>
      <c r="CS26" s="55"/>
      <c r="CT26" s="55"/>
      <c r="CU26" s="55"/>
      <c r="CV26" s="55"/>
      <c r="CW26" s="55"/>
      <c r="CX26" s="55"/>
      <c r="CY26" s="55"/>
      <c r="CZ26" s="55"/>
      <c r="DA26" s="55"/>
      <c r="DB26" s="55"/>
      <c r="DC26" s="55"/>
      <c r="DD26" s="55"/>
      <c r="DE26" s="55"/>
      <c r="DF26" s="55"/>
      <c r="DG26" s="55"/>
      <c r="DH26" s="55"/>
      <c r="DI26" s="55"/>
      <c r="DJ26" s="55"/>
      <c r="DK26" s="55"/>
      <c r="DL26" s="55"/>
      <c r="DM26" s="55"/>
      <c r="DN26" s="55"/>
      <c r="DO26" s="55"/>
      <c r="DP26" s="55"/>
      <c r="DQ26" s="55"/>
      <c r="DR26" s="55"/>
      <c r="DS26" s="55"/>
      <c r="DT26" s="55"/>
      <c r="DU26" s="55"/>
      <c r="DV26" s="55"/>
      <c r="DW26" s="55"/>
      <c r="DX26" s="55"/>
      <c r="DY26" s="55"/>
      <c r="DZ26" s="55"/>
      <c r="EA26" s="55"/>
      <c r="EB26" s="55"/>
      <c r="EC26" s="55"/>
      <c r="ED26" s="55"/>
      <c r="EE26" s="55"/>
      <c r="EF26" s="55"/>
      <c r="EG26" s="55"/>
      <c r="EH26" s="55"/>
      <c r="EI26" s="55"/>
      <c r="EJ26" s="55"/>
      <c r="EK26" s="55"/>
      <c r="EL26" s="55"/>
      <c r="EM26" s="55"/>
      <c r="EN26" s="55"/>
      <c r="EO26" s="55"/>
      <c r="EP26" s="55"/>
      <c r="EQ26" s="55"/>
      <c r="ER26" s="55"/>
      <c r="ES26" s="55"/>
      <c r="ET26" s="55"/>
      <c r="EU26" s="55"/>
      <c r="EV26" s="55"/>
      <c r="EW26" s="55"/>
      <c r="EX26" s="55"/>
      <c r="EY26" s="55"/>
      <c r="EZ26" s="55"/>
      <c r="FA26" s="55"/>
      <c r="FB26" s="55"/>
      <c r="FC26" s="55"/>
      <c r="FD26" s="55"/>
      <c r="FE26" s="55"/>
      <c r="FF26" s="55"/>
      <c r="FG26" s="55"/>
      <c r="FH26" s="55"/>
      <c r="FI26" s="55"/>
      <c r="FJ26" s="55"/>
      <c r="FK26" s="55"/>
      <c r="FL26" s="55"/>
      <c r="FM26" s="55"/>
      <c r="FN26" s="55"/>
      <c r="FO26" s="55"/>
      <c r="FP26" s="55"/>
      <c r="FQ26" s="55"/>
      <c r="FR26" s="55"/>
      <c r="FS26" s="55"/>
      <c r="FT26" s="55"/>
      <c r="FU26" s="55"/>
      <c r="FV26" s="55"/>
      <c r="FW26" s="55"/>
    </row>
    <row r="27" spans="1:179" s="57" customFormat="1" ht="9.75" customHeight="1" x14ac:dyDescent="0.15">
      <c r="A27" s="468" t="s">
        <v>150</v>
      </c>
      <c r="B27" s="300">
        <v>0</v>
      </c>
      <c r="C27" s="299">
        <v>0</v>
      </c>
      <c r="D27" s="224"/>
      <c r="E27" s="225"/>
      <c r="F27" s="215">
        <v>0</v>
      </c>
      <c r="G27" s="216">
        <v>0</v>
      </c>
      <c r="H27" s="223">
        <v>0</v>
      </c>
      <c r="I27" s="223">
        <v>0</v>
      </c>
      <c r="J27" s="217">
        <f t="shared" si="97"/>
        <v>0</v>
      </c>
      <c r="K27" s="223">
        <v>0</v>
      </c>
      <c r="L27" s="223">
        <v>0</v>
      </c>
      <c r="M27" s="223">
        <v>0</v>
      </c>
      <c r="N27" s="223">
        <v>0</v>
      </c>
      <c r="O27" s="217">
        <f t="shared" si="91"/>
        <v>0</v>
      </c>
      <c r="P27" s="493">
        <f>SUM(IF((0*(IF(ISBLANK(E27),C27,E27)))+IF(ISBLANK(D27),B27,D27) &lt; 0, 0, (0*(IF(ISBLANK(E27),C27,E27)))+IF(ISBLANK(D27),B27,D27)))</f>
        <v>0</v>
      </c>
      <c r="Q27" s="493">
        <f>SUM(IF((1*(IF(ISBLANK(E27),C27,E27)))+IF(ISBLANK(D27),B27,D27) &lt; 0, 0, (1*(IF(ISBLANK(E27),C27,E27)))+IF(ISBLANK(D27),B27,D27)))</f>
        <v>0</v>
      </c>
      <c r="R27" s="493">
        <f>SUM(IF((2*(IF(ISBLANK(E27),C27,E27)))+IF(ISBLANK(D27),B27,D27) &lt; 0, 0, (2*(IF(ISBLANK(E27),C27,E27)))+IF(ISBLANK(D27),B27,D27)))</f>
        <v>0</v>
      </c>
      <c r="S27" s="493">
        <f>SUM(IF((3*(IF(ISBLANK(E27),C27,E27)))+IF(ISBLANK(D27),B27,D27) &lt; 0, 0, (3*(IF(ISBLANK(E27),C27,E27)))+IF(ISBLANK(D27),B27,D27)))</f>
        <v>0</v>
      </c>
      <c r="T27" s="218">
        <f t="shared" si="96"/>
        <v>0</v>
      </c>
      <c r="U27" s="247"/>
      <c r="V27" s="213">
        <f>SUM(IF((5*(IF(ISBLANK(E27),C27,E27)))+IF(ISBLANK(D27),B27,D27) &lt; 0, 0, (5*(IF(ISBLANK(E27),C27,E27)))+IF(ISBLANK(D27),B27,D27)))*12</f>
        <v>0</v>
      </c>
      <c r="W27" s="219">
        <f>SUM(IF((7*(IF(ISBLANK(E27),C27,E27)))+IF(ISBLANK(D27),B27,D27) &lt; 0, 0, (7*(IF(ISBLANK(E27),C27,E27)))+IF(ISBLANK(D27),B27,D27)))*12</f>
        <v>0</v>
      </c>
      <c r="X27" s="220">
        <f>SUM(IF((9*(IF(ISBLANK(E27),C27,E27)))+IF(ISBLANK(D27),B27,D27) &lt; 0, 0, (9*(IF(ISBLANK(E27),C27,E27)))+IF(ISBLANK(D27),B27,D27)))*12</f>
        <v>0</v>
      </c>
      <c r="Y27" s="221"/>
      <c r="Z27" s="578">
        <v>0</v>
      </c>
      <c r="AA27" s="617"/>
      <c r="AB27" s="532">
        <f>SUM(AB18*F27)</f>
        <v>0</v>
      </c>
      <c r="AC27" s="492">
        <f>SUM(AC18*F27)</f>
        <v>0</v>
      </c>
      <c r="AD27" s="492">
        <f>SUM(AD18*F27)</f>
        <v>0</v>
      </c>
      <c r="AE27" s="492">
        <f t="shared" si="70"/>
        <v>0</v>
      </c>
      <c r="AF27" s="222"/>
      <c r="AG27" s="532">
        <f>SUM(AG18*G27)</f>
        <v>0</v>
      </c>
      <c r="AH27" s="492">
        <f>SUM(AH18*G27)</f>
        <v>0</v>
      </c>
      <c r="AI27" s="492">
        <f>SUM(AI18*G27)</f>
        <v>0</v>
      </c>
      <c r="AJ27" s="492">
        <f t="shared" si="71"/>
        <v>0</v>
      </c>
      <c r="AK27" s="222"/>
      <c r="AL27" s="532">
        <f t="shared" si="72"/>
        <v>0</v>
      </c>
      <c r="AM27" s="492">
        <f t="shared" si="73"/>
        <v>0</v>
      </c>
      <c r="AN27" s="492">
        <f t="shared" si="74"/>
        <v>0</v>
      </c>
      <c r="AO27" s="492">
        <f t="shared" si="75"/>
        <v>0</v>
      </c>
      <c r="AP27" s="222"/>
      <c r="AQ27" s="532">
        <f>SUM(AQ18*I27)</f>
        <v>0</v>
      </c>
      <c r="AR27" s="492">
        <f>SUM(AR18*I27)</f>
        <v>0</v>
      </c>
      <c r="AS27" s="492">
        <f>SUM(AS18*I27)</f>
        <v>0</v>
      </c>
      <c r="AT27" s="492">
        <f t="shared" si="76"/>
        <v>0</v>
      </c>
      <c r="AU27" s="222"/>
      <c r="AV27" s="617"/>
      <c r="AW27" s="532">
        <f>SUM(AW18*K27)</f>
        <v>0</v>
      </c>
      <c r="AX27" s="492">
        <f>SUM(AX18*K27)</f>
        <v>0</v>
      </c>
      <c r="AY27" s="492">
        <f>SUM(AY18*K27)</f>
        <v>0</v>
      </c>
      <c r="AZ27" s="492">
        <f t="shared" si="77"/>
        <v>0</v>
      </c>
      <c r="BA27" s="222"/>
      <c r="BB27" s="532">
        <f>SUM(BB18*L27)</f>
        <v>0</v>
      </c>
      <c r="BC27" s="492">
        <f>SUM(BC18*L27)</f>
        <v>0</v>
      </c>
      <c r="BD27" s="492">
        <f>SUM(BD18*L27)</f>
        <v>0</v>
      </c>
      <c r="BE27" s="492">
        <f t="shared" si="78"/>
        <v>0</v>
      </c>
      <c r="BF27" s="222"/>
      <c r="BG27" s="532">
        <f>SUM(BG18*M27)</f>
        <v>0</v>
      </c>
      <c r="BH27" s="492">
        <f>SUM(BH18*M27)</f>
        <v>0</v>
      </c>
      <c r="BI27" s="492">
        <f>SUM(BI18*M27)</f>
        <v>0</v>
      </c>
      <c r="BJ27" s="492">
        <f t="shared" si="79"/>
        <v>0</v>
      </c>
      <c r="BK27" s="222"/>
      <c r="BL27" s="532">
        <f>SUM(BL18*N27)</f>
        <v>0</v>
      </c>
      <c r="BM27" s="492">
        <f>SUM(BM18*N27)</f>
        <v>0</v>
      </c>
      <c r="BN27" s="492">
        <f>SUM(BN18*N27)</f>
        <v>0</v>
      </c>
      <c r="BO27" s="492">
        <f t="shared" si="80"/>
        <v>0</v>
      </c>
      <c r="BP27" s="222"/>
      <c r="BQ27" s="221"/>
      <c r="BR27" s="532">
        <f>SUM(BR18*P27)</f>
        <v>0</v>
      </c>
      <c r="BS27" s="492">
        <f>SUM(BS18*P27)</f>
        <v>0</v>
      </c>
      <c r="BT27" s="492">
        <f>SUM(BT18*P27)</f>
        <v>0</v>
      </c>
      <c r="BU27" s="492">
        <f t="shared" si="81"/>
        <v>0</v>
      </c>
      <c r="BV27" s="222"/>
      <c r="BW27" s="532">
        <f>SUM(BW18*Q27)</f>
        <v>0</v>
      </c>
      <c r="BX27" s="492">
        <f>SUM(BX18*Q27)</f>
        <v>0</v>
      </c>
      <c r="BY27" s="492">
        <f>SUM(BY18*Q27)</f>
        <v>0</v>
      </c>
      <c r="BZ27" s="492">
        <f t="shared" si="82"/>
        <v>0</v>
      </c>
      <c r="CA27" s="222"/>
      <c r="CB27" s="532">
        <f>SUM(CB18*R27)</f>
        <v>0</v>
      </c>
      <c r="CC27" s="492">
        <f>SUM(CC18*R27)</f>
        <v>0</v>
      </c>
      <c r="CD27" s="492">
        <f>SUM(CD18*R27)</f>
        <v>0</v>
      </c>
      <c r="CE27" s="492">
        <f t="shared" si="83"/>
        <v>0</v>
      </c>
      <c r="CF27" s="222"/>
      <c r="CG27" s="532">
        <f>SUM(CG18*S27)</f>
        <v>0</v>
      </c>
      <c r="CH27" s="492">
        <f>SUM(CH18*S27)</f>
        <v>0</v>
      </c>
      <c r="CI27" s="492">
        <f>SUM(CI18*S27)</f>
        <v>0</v>
      </c>
      <c r="CJ27" s="492">
        <f t="shared" si="84"/>
        <v>0</v>
      </c>
      <c r="CK27" s="222"/>
      <c r="CL27" s="55"/>
      <c r="CM27" s="55"/>
      <c r="CN27" s="55"/>
      <c r="CO27" s="55"/>
      <c r="CP27" s="55"/>
      <c r="CQ27" s="55"/>
      <c r="CR27" s="55"/>
      <c r="CS27" s="55"/>
      <c r="CT27" s="55"/>
      <c r="CU27" s="55"/>
      <c r="CV27" s="55"/>
      <c r="CW27" s="55"/>
      <c r="CX27" s="55"/>
      <c r="CY27" s="55"/>
      <c r="CZ27" s="55"/>
      <c r="DA27" s="55"/>
      <c r="DB27" s="55"/>
      <c r="DC27" s="55"/>
      <c r="DD27" s="55"/>
      <c r="DE27" s="55"/>
      <c r="DF27" s="55"/>
      <c r="DG27" s="55"/>
      <c r="DH27" s="55"/>
      <c r="DI27" s="55"/>
      <c r="DJ27" s="55"/>
      <c r="DK27" s="55"/>
      <c r="DL27" s="55"/>
      <c r="DM27" s="55"/>
      <c r="DN27" s="55"/>
      <c r="DO27" s="55"/>
      <c r="DP27" s="55"/>
      <c r="DQ27" s="55"/>
      <c r="DR27" s="55"/>
      <c r="DS27" s="55"/>
      <c r="DT27" s="55"/>
      <c r="DU27" s="55"/>
      <c r="DV27" s="55"/>
      <c r="DW27" s="55"/>
      <c r="DX27" s="55"/>
      <c r="DY27" s="55"/>
      <c r="DZ27" s="55"/>
      <c r="EA27" s="55"/>
      <c r="EB27" s="55"/>
      <c r="EC27" s="55"/>
      <c r="ED27" s="55"/>
      <c r="EE27" s="55"/>
      <c r="EF27" s="55"/>
      <c r="EG27" s="55"/>
      <c r="EH27" s="55"/>
      <c r="EI27" s="55"/>
      <c r="EJ27" s="55"/>
      <c r="EK27" s="55"/>
      <c r="EL27" s="55"/>
      <c r="EM27" s="55"/>
      <c r="EN27" s="55"/>
      <c r="EO27" s="55"/>
      <c r="EP27" s="55"/>
      <c r="EQ27" s="55"/>
      <c r="ER27" s="55"/>
      <c r="ES27" s="55"/>
      <c r="ET27" s="55"/>
      <c r="EU27" s="55"/>
      <c r="EV27" s="55"/>
      <c r="EW27" s="55"/>
      <c r="EX27" s="55"/>
      <c r="EY27" s="55"/>
      <c r="EZ27" s="55"/>
      <c r="FA27" s="55"/>
      <c r="FB27" s="55"/>
      <c r="FC27" s="55"/>
      <c r="FD27" s="55"/>
      <c r="FE27" s="55"/>
      <c r="FF27" s="55"/>
      <c r="FG27" s="55"/>
      <c r="FH27" s="55"/>
      <c r="FI27" s="55"/>
      <c r="FJ27" s="55"/>
      <c r="FK27" s="55"/>
      <c r="FL27" s="55"/>
      <c r="FM27" s="55"/>
      <c r="FN27" s="55"/>
      <c r="FO27" s="55"/>
      <c r="FP27" s="55"/>
      <c r="FQ27" s="55"/>
      <c r="FR27" s="55"/>
      <c r="FS27" s="55"/>
      <c r="FT27" s="55"/>
      <c r="FU27" s="55"/>
      <c r="FV27" s="55"/>
      <c r="FW27" s="55"/>
    </row>
    <row r="28" spans="1:179" s="57" customFormat="1" ht="9.75" customHeight="1" x14ac:dyDescent="0.15">
      <c r="A28" s="468" t="s">
        <v>151</v>
      </c>
      <c r="B28" s="300">
        <v>0</v>
      </c>
      <c r="C28" s="299">
        <v>0</v>
      </c>
      <c r="D28" s="224"/>
      <c r="E28" s="225"/>
      <c r="F28" s="215">
        <v>0</v>
      </c>
      <c r="G28" s="216">
        <v>0</v>
      </c>
      <c r="H28" s="223">
        <v>0</v>
      </c>
      <c r="I28" s="223">
        <v>0</v>
      </c>
      <c r="J28" s="217">
        <f t="shared" si="97"/>
        <v>0</v>
      </c>
      <c r="K28" s="223">
        <v>0</v>
      </c>
      <c r="L28" s="223">
        <v>0</v>
      </c>
      <c r="M28" s="223">
        <v>0</v>
      </c>
      <c r="N28" s="223">
        <v>0</v>
      </c>
      <c r="O28" s="217">
        <f t="shared" si="91"/>
        <v>0</v>
      </c>
      <c r="P28" s="493">
        <f>SUM(IF((1*(IF(ISBLANK(E28),C28,E28)))+IF(ISBLANK(D28),B28,D28) &lt; 0, 0, (1*(IF(ISBLANK(E28),C28,E28)))+IF(ISBLANK(D28),B28,D28)))</f>
        <v>0</v>
      </c>
      <c r="Q28" s="493">
        <f>SUM(IF((2*(IF(ISBLANK(E28),C28,E28)))+IF(ISBLANK(D28),B28,D28) &lt; 0, 0, (2*(IF(ISBLANK(E28),C28,E28)))+IF(ISBLANK(D28),B28,D28)))</f>
        <v>0</v>
      </c>
      <c r="R28" s="493">
        <f>SUM(IF((3*(IF(ISBLANK(E28),C28,E28)))+IF(ISBLANK(D28),B28,D28) &lt; 0, 0, (3*(IF(ISBLANK(E28),C28,E28)))+IF(ISBLANK(D28),B28,D28)))</f>
        <v>0</v>
      </c>
      <c r="S28" s="493">
        <f>SUM(IF((4*(IF(ISBLANK(E28),C28,E28)))+IF(ISBLANK(D28),B28,D28) &lt; 0, 0, (4*(IF(ISBLANK(E28),C28,E28)))+IF(ISBLANK(D28),B28,D28)))</f>
        <v>0</v>
      </c>
      <c r="T28" s="218">
        <f t="shared" si="96"/>
        <v>0</v>
      </c>
      <c r="U28" s="247"/>
      <c r="V28" s="213">
        <f>SUM(IF((6*(IF(ISBLANK(E28),C28,E28)))+IF(ISBLANK(D28),B28,D28) &lt; 0, 0, (6*(IF(ISBLANK(E28),C28,E28)))+IF(ISBLANK(D28),B28,D28)))*12</f>
        <v>0</v>
      </c>
      <c r="W28" s="219">
        <f>SUM(IF((8*(IF(ISBLANK(E28),C28,E28)))+IF(ISBLANK(D28),B28,D28) &lt; 0, 0, (8*(IF(ISBLANK(E28),C28,E28)))+IF(ISBLANK(D28),B28,D28)))*12</f>
        <v>0</v>
      </c>
      <c r="X28" s="220">
        <f>SUM(IF((10*(IF(ISBLANK(E28),C28,E28)))+IF(ISBLANK(D28),B28,D28) &lt; 0, 0, (10*(IF(ISBLANK(E28),C28,E28)))+IF(ISBLANK(D28),B28,D28)))*12</f>
        <v>0</v>
      </c>
      <c r="Y28" s="221"/>
      <c r="Z28" s="578">
        <v>0</v>
      </c>
      <c r="AA28" s="617"/>
      <c r="AB28" s="532">
        <f>SUM(AB18*F28)</f>
        <v>0</v>
      </c>
      <c r="AC28" s="492">
        <f>SUM(AC18*F28)</f>
        <v>0</v>
      </c>
      <c r="AD28" s="492">
        <f>SUM(AD18*F28)</f>
        <v>0</v>
      </c>
      <c r="AE28" s="492">
        <f t="shared" si="70"/>
        <v>0</v>
      </c>
      <c r="AF28" s="222"/>
      <c r="AG28" s="532">
        <f>SUM(AG18*G28)</f>
        <v>0</v>
      </c>
      <c r="AH28" s="492">
        <f>SUM(AH18*G28)</f>
        <v>0</v>
      </c>
      <c r="AI28" s="492">
        <f>SUM(AI18*G28)</f>
        <v>0</v>
      </c>
      <c r="AJ28" s="492">
        <f t="shared" si="71"/>
        <v>0</v>
      </c>
      <c r="AK28" s="222"/>
      <c r="AL28" s="532">
        <f t="shared" si="72"/>
        <v>0</v>
      </c>
      <c r="AM28" s="492">
        <f t="shared" si="73"/>
        <v>0</v>
      </c>
      <c r="AN28" s="492">
        <f t="shared" si="74"/>
        <v>0</v>
      </c>
      <c r="AO28" s="492">
        <f t="shared" si="75"/>
        <v>0</v>
      </c>
      <c r="AP28" s="222"/>
      <c r="AQ28" s="532">
        <f>SUM(AQ18*I28)</f>
        <v>0</v>
      </c>
      <c r="AR28" s="492">
        <f>SUM(AR18*I28)</f>
        <v>0</v>
      </c>
      <c r="AS28" s="492">
        <f>SUM(AS18*I28)</f>
        <v>0</v>
      </c>
      <c r="AT28" s="492">
        <f t="shared" si="76"/>
        <v>0</v>
      </c>
      <c r="AU28" s="222"/>
      <c r="AV28" s="617"/>
      <c r="AW28" s="532">
        <f>SUM(AW18*K28)</f>
        <v>0</v>
      </c>
      <c r="AX28" s="492">
        <f>SUM(AX18*K28)</f>
        <v>0</v>
      </c>
      <c r="AY28" s="492">
        <f>SUM(AY18*K28)</f>
        <v>0</v>
      </c>
      <c r="AZ28" s="492">
        <f t="shared" si="77"/>
        <v>0</v>
      </c>
      <c r="BA28" s="222"/>
      <c r="BB28" s="532">
        <f>SUM(BB18*L28)</f>
        <v>0</v>
      </c>
      <c r="BC28" s="492">
        <f>SUM(BC18*L28)</f>
        <v>0</v>
      </c>
      <c r="BD28" s="492">
        <f>SUM(BD18*L28)</f>
        <v>0</v>
      </c>
      <c r="BE28" s="492">
        <f t="shared" si="78"/>
        <v>0</v>
      </c>
      <c r="BF28" s="222"/>
      <c r="BG28" s="532">
        <f>SUM(BG18*M28)</f>
        <v>0</v>
      </c>
      <c r="BH28" s="492">
        <f>SUM(BH18*M28)</f>
        <v>0</v>
      </c>
      <c r="BI28" s="492">
        <f>SUM(BI18*M28)</f>
        <v>0</v>
      </c>
      <c r="BJ28" s="492">
        <f t="shared" si="79"/>
        <v>0</v>
      </c>
      <c r="BK28" s="222"/>
      <c r="BL28" s="532">
        <f>SUM(BL18*N28)</f>
        <v>0</v>
      </c>
      <c r="BM28" s="492">
        <f>SUM(BM18*N28)</f>
        <v>0</v>
      </c>
      <c r="BN28" s="492">
        <f>SUM(BN18*N28)</f>
        <v>0</v>
      </c>
      <c r="BO28" s="492">
        <f t="shared" si="80"/>
        <v>0</v>
      </c>
      <c r="BP28" s="222"/>
      <c r="BQ28" s="221"/>
      <c r="BR28" s="532">
        <f>SUM(BR18*P28)</f>
        <v>0</v>
      </c>
      <c r="BS28" s="492">
        <f>SUM(BS18*P28)</f>
        <v>0</v>
      </c>
      <c r="BT28" s="492">
        <f>SUM(BT18*P28)</f>
        <v>0</v>
      </c>
      <c r="BU28" s="492">
        <f t="shared" si="81"/>
        <v>0</v>
      </c>
      <c r="BV28" s="222"/>
      <c r="BW28" s="532">
        <f>SUM(BW18*Q28)</f>
        <v>0</v>
      </c>
      <c r="BX28" s="492">
        <f>SUM(BX18*Q28)</f>
        <v>0</v>
      </c>
      <c r="BY28" s="492">
        <f>SUM(BY18*Q28)</f>
        <v>0</v>
      </c>
      <c r="BZ28" s="492">
        <f t="shared" si="82"/>
        <v>0</v>
      </c>
      <c r="CA28" s="222"/>
      <c r="CB28" s="532">
        <f>SUM(CB18*R28)</f>
        <v>0</v>
      </c>
      <c r="CC28" s="492">
        <f>SUM(CC18*R28)</f>
        <v>0</v>
      </c>
      <c r="CD28" s="492">
        <f>SUM(CD18*R28)</f>
        <v>0</v>
      </c>
      <c r="CE28" s="492">
        <f t="shared" si="83"/>
        <v>0</v>
      </c>
      <c r="CF28" s="222"/>
      <c r="CG28" s="532">
        <f>SUM(CG18*S28)</f>
        <v>0</v>
      </c>
      <c r="CH28" s="492">
        <f>SUM(CH18*S28)</f>
        <v>0</v>
      </c>
      <c r="CI28" s="492">
        <f>SUM(CI18*S28)</f>
        <v>0</v>
      </c>
      <c r="CJ28" s="492">
        <f t="shared" si="84"/>
        <v>0</v>
      </c>
      <c r="CK28" s="222"/>
      <c r="CL28" s="55"/>
      <c r="CM28" s="55"/>
      <c r="CN28" s="55"/>
      <c r="CO28" s="55"/>
      <c r="CP28" s="55"/>
      <c r="CQ28" s="55"/>
      <c r="CR28" s="55"/>
      <c r="CS28" s="55"/>
      <c r="CT28" s="55"/>
      <c r="CU28" s="55"/>
      <c r="CV28" s="55"/>
      <c r="CW28" s="55"/>
      <c r="CX28" s="55"/>
      <c r="CY28" s="55"/>
      <c r="CZ28" s="55"/>
      <c r="DA28" s="55"/>
      <c r="DB28" s="55"/>
      <c r="DC28" s="55"/>
      <c r="DD28" s="55"/>
      <c r="DE28" s="55"/>
      <c r="DF28" s="55"/>
      <c r="DG28" s="55"/>
      <c r="DH28" s="55"/>
      <c r="DI28" s="55"/>
      <c r="DJ28" s="55"/>
      <c r="DK28" s="55"/>
      <c r="DL28" s="55"/>
      <c r="DM28" s="55"/>
      <c r="DN28" s="55"/>
      <c r="DO28" s="55"/>
      <c r="DP28" s="55"/>
      <c r="DQ28" s="55"/>
      <c r="DR28" s="55"/>
      <c r="DS28" s="55"/>
      <c r="DT28" s="55"/>
      <c r="DU28" s="55"/>
      <c r="DV28" s="55"/>
      <c r="DW28" s="55"/>
      <c r="DX28" s="55"/>
      <c r="DY28" s="55"/>
      <c r="DZ28" s="55"/>
      <c r="EA28" s="55"/>
      <c r="EB28" s="55"/>
      <c r="EC28" s="55"/>
      <c r="ED28" s="55"/>
      <c r="EE28" s="55"/>
      <c r="EF28" s="55"/>
      <c r="EG28" s="55"/>
      <c r="EH28" s="55"/>
      <c r="EI28" s="55"/>
      <c r="EJ28" s="55"/>
      <c r="EK28" s="55"/>
      <c r="EL28" s="55"/>
      <c r="EM28" s="55"/>
      <c r="EN28" s="55"/>
      <c r="EO28" s="55"/>
      <c r="EP28" s="55"/>
      <c r="EQ28" s="55"/>
      <c r="ER28" s="55"/>
      <c r="ES28" s="55"/>
      <c r="ET28" s="55"/>
      <c r="EU28" s="55"/>
      <c r="EV28" s="55"/>
      <c r="EW28" s="55"/>
      <c r="EX28" s="55"/>
      <c r="EY28" s="55"/>
      <c r="EZ28" s="55"/>
      <c r="FA28" s="55"/>
      <c r="FB28" s="55"/>
      <c r="FC28" s="55"/>
      <c r="FD28" s="55"/>
      <c r="FE28" s="55"/>
      <c r="FF28" s="55"/>
      <c r="FG28" s="55"/>
      <c r="FH28" s="55"/>
      <c r="FI28" s="55"/>
      <c r="FJ28" s="55"/>
      <c r="FK28" s="55"/>
      <c r="FL28" s="55"/>
      <c r="FM28" s="55"/>
      <c r="FN28" s="55"/>
      <c r="FO28" s="55"/>
      <c r="FP28" s="55"/>
      <c r="FQ28" s="55"/>
      <c r="FR28" s="55"/>
      <c r="FS28" s="55"/>
      <c r="FT28" s="55"/>
      <c r="FU28" s="55"/>
      <c r="FV28" s="55"/>
      <c r="FW28" s="55"/>
    </row>
    <row r="29" spans="1:179" s="57" customFormat="1" ht="9.75" customHeight="1" x14ac:dyDescent="0.15">
      <c r="A29" s="487" t="s">
        <v>152</v>
      </c>
      <c r="B29" s="697" t="s">
        <v>159</v>
      </c>
      <c r="C29" s="698"/>
      <c r="D29" s="695"/>
      <c r="E29" s="696"/>
      <c r="F29" s="226">
        <v>0</v>
      </c>
      <c r="G29" s="227">
        <v>0</v>
      </c>
      <c r="H29" s="227">
        <v>0</v>
      </c>
      <c r="I29" s="227">
        <v>0</v>
      </c>
      <c r="J29" s="217">
        <f t="shared" si="97"/>
        <v>0</v>
      </c>
      <c r="K29" s="227">
        <v>0</v>
      </c>
      <c r="L29" s="227">
        <v>0</v>
      </c>
      <c r="M29" s="227">
        <v>0</v>
      </c>
      <c r="N29" s="227">
        <v>0</v>
      </c>
      <c r="O29" s="217">
        <f t="shared" si="91"/>
        <v>0</v>
      </c>
      <c r="P29" s="227">
        <v>0</v>
      </c>
      <c r="Q29" s="227">
        <v>0</v>
      </c>
      <c r="R29" s="227">
        <v>0</v>
      </c>
      <c r="S29" s="227">
        <v>0</v>
      </c>
      <c r="T29" s="218">
        <f t="shared" si="96"/>
        <v>0</v>
      </c>
      <c r="U29" s="221"/>
      <c r="V29" s="239">
        <v>0</v>
      </c>
      <c r="W29" s="217">
        <v>0</v>
      </c>
      <c r="X29" s="242">
        <v>0</v>
      </c>
      <c r="Y29" s="221"/>
      <c r="Z29" s="578">
        <v>0</v>
      </c>
      <c r="AA29" s="617"/>
      <c r="AB29" s="532">
        <f>SUM(F29/3)</f>
        <v>0</v>
      </c>
      <c r="AC29" s="492">
        <f>SUM(F29/3)</f>
        <v>0</v>
      </c>
      <c r="AD29" s="492">
        <f>SUM(F29/3)</f>
        <v>0</v>
      </c>
      <c r="AE29" s="492">
        <f t="shared" si="70"/>
        <v>0</v>
      </c>
      <c r="AF29" s="222"/>
      <c r="AG29" s="532">
        <f>SUM(G29/3)</f>
        <v>0</v>
      </c>
      <c r="AH29" s="492">
        <f>SUM(G29/3)</f>
        <v>0</v>
      </c>
      <c r="AI29" s="492">
        <f>SUM(G29/3)</f>
        <v>0</v>
      </c>
      <c r="AJ29" s="492">
        <f t="shared" si="71"/>
        <v>0</v>
      </c>
      <c r="AK29" s="222"/>
      <c r="AL29" s="532">
        <f>SUM(H29/3)</f>
        <v>0</v>
      </c>
      <c r="AM29" s="492">
        <f>SUM(H29/3)</f>
        <v>0</v>
      </c>
      <c r="AN29" s="492">
        <f>SUM(H29/3)</f>
        <v>0</v>
      </c>
      <c r="AO29" s="492">
        <f t="shared" si="75"/>
        <v>0</v>
      </c>
      <c r="AP29" s="222"/>
      <c r="AQ29" s="532">
        <f>SUM(I29/3)</f>
        <v>0</v>
      </c>
      <c r="AR29" s="492">
        <f>SUM(I29/3)</f>
        <v>0</v>
      </c>
      <c r="AS29" s="492">
        <f>SUM(I29/3)</f>
        <v>0</v>
      </c>
      <c r="AT29" s="492">
        <f t="shared" si="76"/>
        <v>0</v>
      </c>
      <c r="AU29" s="222"/>
      <c r="AV29" s="617"/>
      <c r="AW29" s="532">
        <f>SUM(K29/3)</f>
        <v>0</v>
      </c>
      <c r="AX29" s="492">
        <f>SUM(K29/3)</f>
        <v>0</v>
      </c>
      <c r="AY29" s="492">
        <f>SUM(K29/3)</f>
        <v>0</v>
      </c>
      <c r="AZ29" s="492">
        <f t="shared" si="77"/>
        <v>0</v>
      </c>
      <c r="BA29" s="222"/>
      <c r="BB29" s="532">
        <f>SUM(L29/3)</f>
        <v>0</v>
      </c>
      <c r="BC29" s="492">
        <f>SUM(L29/3)</f>
        <v>0</v>
      </c>
      <c r="BD29" s="492">
        <f>SUM(L29/3)</f>
        <v>0</v>
      </c>
      <c r="BE29" s="492">
        <f t="shared" si="78"/>
        <v>0</v>
      </c>
      <c r="BF29" s="222"/>
      <c r="BG29" s="532">
        <f>SUM(M29/3)</f>
        <v>0</v>
      </c>
      <c r="BH29" s="492">
        <f>SUM(M29/3)</f>
        <v>0</v>
      </c>
      <c r="BI29" s="492">
        <f>SUM(M29/3)</f>
        <v>0</v>
      </c>
      <c r="BJ29" s="492">
        <f t="shared" si="79"/>
        <v>0</v>
      </c>
      <c r="BK29" s="222"/>
      <c r="BL29" s="532">
        <f>SUM(N29/3)</f>
        <v>0</v>
      </c>
      <c r="BM29" s="492">
        <f>SUM(N29/3)</f>
        <v>0</v>
      </c>
      <c r="BN29" s="492">
        <f>SUM(N29/3)</f>
        <v>0</v>
      </c>
      <c r="BO29" s="492">
        <f t="shared" si="80"/>
        <v>0</v>
      </c>
      <c r="BP29" s="222"/>
      <c r="BQ29" s="221"/>
      <c r="BR29" s="532">
        <f>SUM(P29/3)</f>
        <v>0</v>
      </c>
      <c r="BS29" s="492">
        <f>SUM(P29/3)</f>
        <v>0</v>
      </c>
      <c r="BT29" s="492">
        <f>SUM(P29/3)</f>
        <v>0</v>
      </c>
      <c r="BU29" s="492">
        <f t="shared" si="81"/>
        <v>0</v>
      </c>
      <c r="BV29" s="222"/>
      <c r="BW29" s="532">
        <f>SUM(Q29/3)</f>
        <v>0</v>
      </c>
      <c r="BX29" s="492">
        <f>SUM(Q29/3)</f>
        <v>0</v>
      </c>
      <c r="BY29" s="492">
        <f>SUM(Q29/3)</f>
        <v>0</v>
      </c>
      <c r="BZ29" s="492">
        <f t="shared" si="82"/>
        <v>0</v>
      </c>
      <c r="CA29" s="222"/>
      <c r="CB29" s="532">
        <f>SUM(R29/3)</f>
        <v>0</v>
      </c>
      <c r="CC29" s="492">
        <f>SUM(R29/3)</f>
        <v>0</v>
      </c>
      <c r="CD29" s="492">
        <f>SUM(R29/3)</f>
        <v>0</v>
      </c>
      <c r="CE29" s="492">
        <f t="shared" si="83"/>
        <v>0</v>
      </c>
      <c r="CF29" s="222"/>
      <c r="CG29" s="532">
        <f>SUM(S29/3)</f>
        <v>0</v>
      </c>
      <c r="CH29" s="492">
        <f>SUM(S29/3)</f>
        <v>0</v>
      </c>
      <c r="CI29" s="492">
        <f>SUM(S29/3)</f>
        <v>0</v>
      </c>
      <c r="CJ29" s="492">
        <f t="shared" si="84"/>
        <v>0</v>
      </c>
      <c r="CK29" s="222"/>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row>
    <row r="30" spans="1:179" s="57" customFormat="1" ht="9.75" customHeight="1" x14ac:dyDescent="0.15">
      <c r="A30" s="422" t="s">
        <v>219</v>
      </c>
      <c r="B30" s="185"/>
      <c r="C30" s="186"/>
      <c r="D30" s="636"/>
      <c r="E30" s="637"/>
      <c r="F30" s="419">
        <f>AE30</f>
        <v>0</v>
      </c>
      <c r="G30" s="420">
        <f>AJ30</f>
        <v>0</v>
      </c>
      <c r="H30" s="420">
        <f>AO30</f>
        <v>4814.4114048116116</v>
      </c>
      <c r="I30" s="420">
        <f>AT30</f>
        <v>16200.674340743873</v>
      </c>
      <c r="J30" s="211">
        <f>SUM(F30:I30)</f>
        <v>21015.085745555487</v>
      </c>
      <c r="K30" s="420">
        <f>AZ30</f>
        <v>26276.456170427606</v>
      </c>
      <c r="L30" s="420">
        <f>BE30</f>
        <v>38456.89832636674</v>
      </c>
      <c r="M30" s="420">
        <f>BJ30</f>
        <v>52181.985382073552</v>
      </c>
      <c r="N30" s="420">
        <f>BO30</f>
        <v>67601.335718270566</v>
      </c>
      <c r="O30" s="211">
        <f>SUM(K30:N30)</f>
        <v>184516.67559713847</v>
      </c>
      <c r="P30" s="420">
        <f>BU30</f>
        <v>84892.772107224358</v>
      </c>
      <c r="Q30" s="420">
        <f>BZ30</f>
        <v>105096.18848501399</v>
      </c>
      <c r="R30" s="420">
        <f>CE30</f>
        <v>129388.6082213776</v>
      </c>
      <c r="S30" s="420">
        <f>CJ30</f>
        <v>159061.63259156671</v>
      </c>
      <c r="T30" s="230">
        <f>SUM(P30:S30)</f>
        <v>478439.20140518266</v>
      </c>
      <c r="U30" s="232"/>
      <c r="V30" s="231">
        <f>SUM(((S18+V18)/2)*(V21+V22+V23+V24+V25+V26+V27+V28))</f>
        <v>1482061.1790589511</v>
      </c>
      <c r="W30" s="211">
        <f>SUM(((V18+W18)/2)*(W21+W22+W23+W24+W25+W26+W27+W28))</f>
        <v>3695009.8284037136</v>
      </c>
      <c r="X30" s="212">
        <f>SUM(((W18+X18)/2)*(X21+X22+X23+X24+X25+X26+X27+X28))</f>
        <v>6735854.4801396113</v>
      </c>
      <c r="Y30" s="232"/>
      <c r="Z30" s="579">
        <v>0</v>
      </c>
      <c r="AA30" s="618"/>
      <c r="AB30" s="535">
        <f>SUM(AB21:AB29)</f>
        <v>0</v>
      </c>
      <c r="AC30" s="420">
        <f>SUM(AC21:AC29)</f>
        <v>0</v>
      </c>
      <c r="AD30" s="420">
        <f>SUM(AD21:AD29)</f>
        <v>0</v>
      </c>
      <c r="AE30" s="211">
        <f>SUM(AB30:AD30)</f>
        <v>0</v>
      </c>
      <c r="AF30" s="212"/>
      <c r="AG30" s="535">
        <f>SUM(AG21:AG29)</f>
        <v>0</v>
      </c>
      <c r="AH30" s="420">
        <f>SUM(AH21:AH29)</f>
        <v>0</v>
      </c>
      <c r="AI30" s="420">
        <f>SUM(AI21:AI29)</f>
        <v>0</v>
      </c>
      <c r="AJ30" s="211">
        <f>SUM(AG30:AI30)</f>
        <v>0</v>
      </c>
      <c r="AK30" s="212"/>
      <c r="AL30" s="535">
        <f>SUM(AL21:AL29)</f>
        <v>1329.0618406628175</v>
      </c>
      <c r="AM30" s="420">
        <f>SUM(AM21:AM29)</f>
        <v>1616.9424502587606</v>
      </c>
      <c r="AN30" s="420">
        <f>SUM(AN21:AN29)</f>
        <v>1868.4071138900338</v>
      </c>
      <c r="AO30" s="211">
        <f>SUM(AL30:AN30)</f>
        <v>4814.4114048116116</v>
      </c>
      <c r="AP30" s="212"/>
      <c r="AQ30" s="535">
        <f>SUM(AQ21:AQ29)</f>
        <v>4943.8441513418456</v>
      </c>
      <c r="AR30" s="420">
        <f>SUM(AR21:AR29)</f>
        <v>5421.8536489791395</v>
      </c>
      <c r="AS30" s="420">
        <f>SUM(AS21:AS29)</f>
        <v>5834.9765404228892</v>
      </c>
      <c r="AT30" s="211">
        <f>SUM(AQ30:AS30)</f>
        <v>16200.674340743873</v>
      </c>
      <c r="AU30" s="212"/>
      <c r="AV30" s="618"/>
      <c r="AW30" s="535">
        <f>SUM(AW21:AW29)</f>
        <v>8108.0754131241101</v>
      </c>
      <c r="AX30" s="420">
        <f>SUM(AX21:AX29)</f>
        <v>8788.5892731855456</v>
      </c>
      <c r="AY30" s="420">
        <f>SUM(AY21:AY29)</f>
        <v>9379.7914841179536</v>
      </c>
      <c r="AZ30" s="211">
        <f>SUM(AW30:AY30)</f>
        <v>26276.456170427606</v>
      </c>
      <c r="BA30" s="212"/>
      <c r="BB30" s="535">
        <f>SUM(BB21:BB29)</f>
        <v>12126.958222812347</v>
      </c>
      <c r="BC30" s="420">
        <f>SUM(BC21:BC29)</f>
        <v>12851.915748747753</v>
      </c>
      <c r="BD30" s="420">
        <f>SUM(BD21:BD29)</f>
        <v>13478.024354806641</v>
      </c>
      <c r="BE30" s="211">
        <f>SUM(BB30:BD30)</f>
        <v>38456.89832636674</v>
      </c>
      <c r="BF30" s="212"/>
      <c r="BG30" s="535">
        <f>SUM(BG21:BG29)</f>
        <v>16655.675164543674</v>
      </c>
      <c r="BH30" s="420">
        <f>SUM(BH21:BH29)</f>
        <v>17429.965233353709</v>
      </c>
      <c r="BI30" s="420">
        <f>SUM(BI21:BI29)</f>
        <v>18096.344984176169</v>
      </c>
      <c r="BJ30" s="211">
        <f>SUM(BG30:BI30)</f>
        <v>52181.985382073552</v>
      </c>
      <c r="BK30" s="212"/>
      <c r="BL30" s="535">
        <f>SUM(BL21:BL29)</f>
        <v>21714.251159784959</v>
      </c>
      <c r="BM30" s="420">
        <f>SUM(BM21:BM29)</f>
        <v>22574.288682087681</v>
      </c>
      <c r="BN30" s="420">
        <f>SUM(BN21:BN29)</f>
        <v>23312.79587639793</v>
      </c>
      <c r="BO30" s="211">
        <f>SUM(BL30:BN30)</f>
        <v>67601.335718270566</v>
      </c>
      <c r="BP30" s="212"/>
      <c r="BQ30" s="232"/>
      <c r="BR30" s="535">
        <f>SUM(BR21:BR29)</f>
        <v>27380.973117795686</v>
      </c>
      <c r="BS30" s="420">
        <f>SUM(BS21:BS29)</f>
        <v>28343.529646310708</v>
      </c>
      <c r="BT30" s="420">
        <f>SUM(BT21:BT29)</f>
        <v>29168.269343117972</v>
      </c>
      <c r="BU30" s="211">
        <f>SUM(BR30:BT30)</f>
        <v>84892.772107224358</v>
      </c>
      <c r="BV30" s="212"/>
      <c r="BW30" s="535">
        <f>SUM(BW21:BW29)</f>
        <v>33864.193346576969</v>
      </c>
      <c r="BX30" s="420">
        <f>SUM(BX21:BX29)</f>
        <v>35089.281665608389</v>
      </c>
      <c r="BY30" s="420">
        <f>SUM(BY21:BY29)</f>
        <v>36142.71347282864</v>
      </c>
      <c r="BZ30" s="211">
        <f>SUM(BW30:BY30)</f>
        <v>105096.18848501399</v>
      </c>
      <c r="CA30" s="212"/>
      <c r="CB30" s="535">
        <f>SUM(CB21:CB29)</f>
        <v>41617.726225315972</v>
      </c>
      <c r="CC30" s="420">
        <f>SUM(CC21:CC29)</f>
        <v>43200.824792776417</v>
      </c>
      <c r="CD30" s="420">
        <f>SUM(CD21:CD29)</f>
        <v>44570.0572032852</v>
      </c>
      <c r="CE30" s="211">
        <f>SUM(CB30:CD30)</f>
        <v>129388.6082213776</v>
      </c>
      <c r="CF30" s="212"/>
      <c r="CG30" s="535">
        <f>SUM(CG21:CG29)</f>
        <v>51033.512013591928</v>
      </c>
      <c r="CH30" s="420">
        <f>SUM(CH21:CH29)</f>
        <v>53109.191454858301</v>
      </c>
      <c r="CI30" s="420">
        <f>SUM(CI21:CI29)</f>
        <v>54918.929123116468</v>
      </c>
      <c r="CJ30" s="233">
        <f>SUM(CG30:CI30)</f>
        <v>159061.63259156671</v>
      </c>
      <c r="CK30" s="212"/>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row>
    <row r="31" spans="1:179" s="55" customFormat="1" ht="4.5" customHeight="1" x14ac:dyDescent="0.15">
      <c r="A31" s="189"/>
      <c r="B31" s="190"/>
      <c r="C31" s="191"/>
      <c r="D31" s="192"/>
      <c r="E31" s="193"/>
      <c r="F31" s="234"/>
      <c r="G31" s="196"/>
      <c r="H31" s="196"/>
      <c r="I31" s="196"/>
      <c r="J31" s="196"/>
      <c r="K31" s="196"/>
      <c r="L31" s="196"/>
      <c r="M31" s="196"/>
      <c r="N31" s="196"/>
      <c r="O31" s="196"/>
      <c r="P31" s="196"/>
      <c r="Q31" s="196"/>
      <c r="R31" s="196"/>
      <c r="S31" s="196"/>
      <c r="T31" s="197"/>
      <c r="U31" s="235"/>
      <c r="V31" s="192"/>
      <c r="W31" s="196"/>
      <c r="X31" s="193"/>
      <c r="Y31" s="235"/>
      <c r="Z31" s="580"/>
      <c r="AA31" s="189"/>
      <c r="AB31" s="192"/>
      <c r="AC31" s="196"/>
      <c r="AD31" s="196"/>
      <c r="AE31" s="196"/>
      <c r="AF31" s="193"/>
      <c r="AG31" s="192"/>
      <c r="AH31" s="196"/>
      <c r="AI31" s="196"/>
      <c r="AJ31" s="196"/>
      <c r="AK31" s="193"/>
      <c r="AL31" s="192"/>
      <c r="AM31" s="196"/>
      <c r="AN31" s="196"/>
      <c r="AO31" s="196"/>
      <c r="AP31" s="193"/>
      <c r="AQ31" s="192"/>
      <c r="AR31" s="196"/>
      <c r="AS31" s="196"/>
      <c r="AT31" s="196"/>
      <c r="AU31" s="193"/>
      <c r="AV31" s="189"/>
      <c r="AW31" s="192"/>
      <c r="AX31" s="196"/>
      <c r="AY31" s="196"/>
      <c r="AZ31" s="196"/>
      <c r="BA31" s="193"/>
      <c r="BB31" s="192"/>
      <c r="BC31" s="196"/>
      <c r="BD31" s="196"/>
      <c r="BE31" s="196"/>
      <c r="BF31" s="193"/>
      <c r="BG31" s="192"/>
      <c r="BH31" s="196"/>
      <c r="BI31" s="196"/>
      <c r="BJ31" s="196"/>
      <c r="BK31" s="193"/>
      <c r="BL31" s="192"/>
      <c r="BM31" s="196"/>
      <c r="BN31" s="196"/>
      <c r="BO31" s="196"/>
      <c r="BP31" s="193"/>
      <c r="BQ31" s="235"/>
      <c r="BR31" s="192"/>
      <c r="BS31" s="196"/>
      <c r="BT31" s="196"/>
      <c r="BU31" s="196"/>
      <c r="BV31" s="193"/>
      <c r="BW31" s="192"/>
      <c r="BX31" s="196"/>
      <c r="BY31" s="196"/>
      <c r="BZ31" s="196"/>
      <c r="CA31" s="193"/>
      <c r="CB31" s="192"/>
      <c r="CC31" s="196"/>
      <c r="CD31" s="196"/>
      <c r="CE31" s="196"/>
      <c r="CF31" s="193"/>
      <c r="CG31" s="192"/>
      <c r="CH31" s="196"/>
      <c r="CI31" s="196"/>
      <c r="CJ31" s="196"/>
      <c r="CK31" s="193"/>
    </row>
    <row r="32" spans="1:179" s="57" customFormat="1" ht="9.75" customHeight="1" x14ac:dyDescent="0.15">
      <c r="A32" s="486" t="s">
        <v>220</v>
      </c>
      <c r="B32" s="125"/>
      <c r="C32" s="202"/>
      <c r="D32" s="630"/>
      <c r="E32" s="631"/>
      <c r="F32" s="489"/>
      <c r="G32" s="490"/>
      <c r="H32" s="490"/>
      <c r="I32" s="490"/>
      <c r="J32" s="210"/>
      <c r="K32" s="490"/>
      <c r="L32" s="490"/>
      <c r="M32" s="490"/>
      <c r="N32" s="490"/>
      <c r="O32" s="210"/>
      <c r="P32" s="490"/>
      <c r="Q32" s="490"/>
      <c r="R32" s="490"/>
      <c r="S32" s="490"/>
      <c r="T32" s="236"/>
      <c r="U32" s="232"/>
      <c r="V32" s="237"/>
      <c r="W32" s="210"/>
      <c r="X32" s="238"/>
      <c r="Y32" s="232"/>
      <c r="Z32" s="577"/>
      <c r="AA32" s="618"/>
      <c r="AB32" s="594"/>
      <c r="AC32" s="490"/>
      <c r="AD32" s="490"/>
      <c r="AE32" s="490"/>
      <c r="AF32" s="212"/>
      <c r="AG32" s="594"/>
      <c r="AH32" s="490"/>
      <c r="AI32" s="490"/>
      <c r="AJ32" s="490"/>
      <c r="AK32" s="212"/>
      <c r="AL32" s="594"/>
      <c r="AM32" s="490"/>
      <c r="AN32" s="490"/>
      <c r="AO32" s="490"/>
      <c r="AP32" s="212"/>
      <c r="AQ32" s="594"/>
      <c r="AR32" s="490"/>
      <c r="AS32" s="490"/>
      <c r="AT32" s="490"/>
      <c r="AU32" s="212"/>
      <c r="AV32" s="618"/>
      <c r="AW32" s="594"/>
      <c r="AX32" s="490"/>
      <c r="AY32" s="490"/>
      <c r="AZ32" s="490"/>
      <c r="BA32" s="212"/>
      <c r="BB32" s="594"/>
      <c r="BC32" s="490"/>
      <c r="BD32" s="490"/>
      <c r="BE32" s="490"/>
      <c r="BF32" s="212"/>
      <c r="BG32" s="594"/>
      <c r="BH32" s="490"/>
      <c r="BI32" s="490"/>
      <c r="BJ32" s="490"/>
      <c r="BK32" s="212"/>
      <c r="BL32" s="594"/>
      <c r="BM32" s="490"/>
      <c r="BN32" s="490"/>
      <c r="BO32" s="490"/>
      <c r="BP32" s="212"/>
      <c r="BQ32" s="232"/>
      <c r="BR32" s="594"/>
      <c r="BS32" s="490"/>
      <c r="BT32" s="490"/>
      <c r="BU32" s="490"/>
      <c r="BV32" s="212"/>
      <c r="BW32" s="594"/>
      <c r="BX32" s="490"/>
      <c r="BY32" s="490"/>
      <c r="BZ32" s="490"/>
      <c r="CA32" s="212"/>
      <c r="CB32" s="594"/>
      <c r="CC32" s="490"/>
      <c r="CD32" s="490"/>
      <c r="CE32" s="490"/>
      <c r="CF32" s="212"/>
      <c r="CG32" s="594"/>
      <c r="CH32" s="490"/>
      <c r="CI32" s="490"/>
      <c r="CJ32" s="490"/>
      <c r="CK32" s="212"/>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row>
    <row r="33" spans="1:179" s="57" customFormat="1" ht="9.75" customHeight="1" x14ac:dyDescent="0.15">
      <c r="A33" s="488" t="s">
        <v>153</v>
      </c>
      <c r="B33" s="239">
        <v>0</v>
      </c>
      <c r="C33" s="126">
        <v>0.04</v>
      </c>
      <c r="D33" s="228"/>
      <c r="E33" s="624"/>
      <c r="F33" s="491">
        <f>SUM((IF(ISBLANK(D33),B33,D33))+(F34*(IF(ISBLANK(E33),C33,E33))))</f>
        <v>800</v>
      </c>
      <c r="G33" s="492">
        <f>SUM((IF(ISBLANK(D33),B33,D33))+(G34*(IF(ISBLANK(E33),C33,E33))))</f>
        <v>800</v>
      </c>
      <c r="H33" s="492">
        <f>SUM((IF(ISBLANK(D33),B33,D33))+(H34*(IF(ISBLANK(E33),C33,E33))))</f>
        <v>400</v>
      </c>
      <c r="I33" s="492">
        <f>SUM((IF(ISBLANK(D33),B33,D33))+(I34*(IF(ISBLANK(E33),C33,E33))))</f>
        <v>400</v>
      </c>
      <c r="J33" s="217">
        <f>SUM(AE33+AJ33+AO33+AT33)</f>
        <v>7200</v>
      </c>
      <c r="K33" s="492">
        <f>SUM((IF(ISBLANK(D33),B33,D33))+(K34*(IF(ISBLANK(E33),C33,E33))))</f>
        <v>400</v>
      </c>
      <c r="L33" s="492">
        <f>SUM((IF(ISBLANK(D33),B33,D33))+(L34*(IF(ISBLANK(E33),C33,E33))))</f>
        <v>400</v>
      </c>
      <c r="M33" s="492">
        <f>SUM((IF(ISBLANK(D33),B33,D33))+(M34*(IF(ISBLANK(E33),C33,E33))))</f>
        <v>400</v>
      </c>
      <c r="N33" s="492">
        <f>SUM((IF(ISBLANK(D33),B33,D33))+(N34*(IF(ISBLANK(E33),C33,E33))))</f>
        <v>400</v>
      </c>
      <c r="O33" s="217">
        <f>SUM(AZ33+BE33+BJ33+BO33)</f>
        <v>4800</v>
      </c>
      <c r="P33" s="492">
        <f>SUM((IF(ISBLANK(D33),B33,D33))+(P34*(IF(ISBLANK(E33),C33,E33))))</f>
        <v>400</v>
      </c>
      <c r="Q33" s="492">
        <f>SUM((IF(ISBLANK(D33),B33,D33))+(Q34*(IF(ISBLANK(E33),C33,E33))))</f>
        <v>400</v>
      </c>
      <c r="R33" s="492">
        <f>SUM((IF(ISBLANK(D33),B33,D33))+(R34*(IF(ISBLANK(E33),C33,E33))))</f>
        <v>600</v>
      </c>
      <c r="S33" s="492">
        <f>SUM((IF(ISBLANK(D33),B33,D33))+(S34*(IF(ISBLANK(E33),C33,E33))))</f>
        <v>800</v>
      </c>
      <c r="T33" s="218">
        <f>SUM(BU33+BZ33+CE33+CJ33)</f>
        <v>6600</v>
      </c>
      <c r="U33" s="221"/>
      <c r="V33" s="239">
        <f>SUM((IF(ISBLANK(D33),B33,D33))+(V34*(IF(ISBLANK(E33),C33,E33))))</f>
        <v>9600</v>
      </c>
      <c r="W33" s="217">
        <f>SUM((IF(ISBLANK(D33),B33,D33))+(W34*(IF(ISBLANK(E33),C33,E33))))</f>
        <v>9600</v>
      </c>
      <c r="X33" s="242">
        <f>SUM((IF(ISBLANK(D33),B33,D33))+(X34*(IF(ISBLANK(E33),C33,E33))))</f>
        <v>9600</v>
      </c>
      <c r="Y33" s="221"/>
      <c r="Z33" s="578">
        <f>SUM(11102+10095+8000)</f>
        <v>29197</v>
      </c>
      <c r="AA33" s="617"/>
      <c r="AB33" s="532">
        <f>F33</f>
        <v>800</v>
      </c>
      <c r="AC33" s="492">
        <f>F33</f>
        <v>800</v>
      </c>
      <c r="AD33" s="492">
        <f>F33</f>
        <v>800</v>
      </c>
      <c r="AE33" s="492">
        <f t="shared" ref="AE33:AE43" si="98">SUM(AB33:AD33)</f>
        <v>2400</v>
      </c>
      <c r="AF33" s="222"/>
      <c r="AG33" s="532">
        <f>G33</f>
        <v>800</v>
      </c>
      <c r="AH33" s="492">
        <f>G33</f>
        <v>800</v>
      </c>
      <c r="AI33" s="492">
        <f>G33</f>
        <v>800</v>
      </c>
      <c r="AJ33" s="492">
        <f t="shared" ref="AJ33:AJ46" si="99">SUM(AG33:AI33)</f>
        <v>2400</v>
      </c>
      <c r="AK33" s="222"/>
      <c r="AL33" s="532">
        <f>H33</f>
        <v>400</v>
      </c>
      <c r="AM33" s="492">
        <f>H33</f>
        <v>400</v>
      </c>
      <c r="AN33" s="492">
        <f>H33</f>
        <v>400</v>
      </c>
      <c r="AO33" s="492">
        <f t="shared" ref="AO33:AO43" si="100">SUM(AL33:AN33)</f>
        <v>1200</v>
      </c>
      <c r="AP33" s="222"/>
      <c r="AQ33" s="532">
        <f>I33</f>
        <v>400</v>
      </c>
      <c r="AR33" s="492">
        <f>I33</f>
        <v>400</v>
      </c>
      <c r="AS33" s="492">
        <f>I33</f>
        <v>400</v>
      </c>
      <c r="AT33" s="492">
        <f t="shared" ref="AT33:AT43" si="101">SUM(AQ33:AS33)</f>
        <v>1200</v>
      </c>
      <c r="AU33" s="222"/>
      <c r="AV33" s="617"/>
      <c r="AW33" s="532">
        <f>K33</f>
        <v>400</v>
      </c>
      <c r="AX33" s="492">
        <f>K33</f>
        <v>400</v>
      </c>
      <c r="AY33" s="492">
        <f>K33</f>
        <v>400</v>
      </c>
      <c r="AZ33" s="492">
        <f t="shared" ref="AZ33:AZ43" si="102">SUM(AW33:AY33)</f>
        <v>1200</v>
      </c>
      <c r="BA33" s="222"/>
      <c r="BB33" s="532">
        <f>L33</f>
        <v>400</v>
      </c>
      <c r="BC33" s="492">
        <f>L33</f>
        <v>400</v>
      </c>
      <c r="BD33" s="492">
        <f>L33</f>
        <v>400</v>
      </c>
      <c r="BE33" s="492">
        <f t="shared" ref="BE33:BE43" si="103">SUM(BB33:BD33)</f>
        <v>1200</v>
      </c>
      <c r="BF33" s="222"/>
      <c r="BG33" s="532">
        <f>M33</f>
        <v>400</v>
      </c>
      <c r="BH33" s="492">
        <f>M33</f>
        <v>400</v>
      </c>
      <c r="BI33" s="492">
        <f>M33</f>
        <v>400</v>
      </c>
      <c r="BJ33" s="492">
        <f t="shared" ref="BJ33:BJ43" si="104">SUM(BG33:BI33)</f>
        <v>1200</v>
      </c>
      <c r="BK33" s="222"/>
      <c r="BL33" s="532">
        <f>N33</f>
        <v>400</v>
      </c>
      <c r="BM33" s="492">
        <f>N33</f>
        <v>400</v>
      </c>
      <c r="BN33" s="492">
        <f>N33</f>
        <v>400</v>
      </c>
      <c r="BO33" s="492">
        <f t="shared" ref="BO33:BO43" si="105">SUM(BL33:BN33)</f>
        <v>1200</v>
      </c>
      <c r="BP33" s="222"/>
      <c r="BQ33" s="221"/>
      <c r="BR33" s="532">
        <f>P33</f>
        <v>400</v>
      </c>
      <c r="BS33" s="492">
        <f>P33</f>
        <v>400</v>
      </c>
      <c r="BT33" s="492">
        <f>P33</f>
        <v>400</v>
      </c>
      <c r="BU33" s="492">
        <f t="shared" ref="BU33:BU43" si="106">SUM(BR33:BT33)</f>
        <v>1200</v>
      </c>
      <c r="BV33" s="222"/>
      <c r="BW33" s="532">
        <f>Q33</f>
        <v>400</v>
      </c>
      <c r="BX33" s="492">
        <f>Q33</f>
        <v>400</v>
      </c>
      <c r="BY33" s="492">
        <f>Q33</f>
        <v>400</v>
      </c>
      <c r="BZ33" s="492">
        <f t="shared" ref="BZ33:BZ43" si="107">SUM(BW33:BY33)</f>
        <v>1200</v>
      </c>
      <c r="CA33" s="222"/>
      <c r="CB33" s="532">
        <f>R33</f>
        <v>600</v>
      </c>
      <c r="CC33" s="492">
        <f>R33</f>
        <v>600</v>
      </c>
      <c r="CD33" s="492">
        <f>R33</f>
        <v>600</v>
      </c>
      <c r="CE33" s="492">
        <f t="shared" ref="CE33:CE43" si="108">SUM(CB33:CD33)</f>
        <v>1800</v>
      </c>
      <c r="CF33" s="222"/>
      <c r="CG33" s="532">
        <f>S33</f>
        <v>800</v>
      </c>
      <c r="CH33" s="492">
        <f>S33</f>
        <v>800</v>
      </c>
      <c r="CI33" s="492">
        <f>S33</f>
        <v>800</v>
      </c>
      <c r="CJ33" s="492">
        <f t="shared" ref="CJ33:CJ43" si="109">SUM(CG33:CI33)</f>
        <v>2400</v>
      </c>
      <c r="CK33" s="222"/>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row>
    <row r="34" spans="1:179" s="57" customFormat="1" ht="9.75" customHeight="1" x14ac:dyDescent="0.15">
      <c r="A34" s="488" t="s">
        <v>154</v>
      </c>
      <c r="B34" s="167">
        <v>0</v>
      </c>
      <c r="C34" s="285">
        <v>0</v>
      </c>
      <c r="D34" s="291"/>
      <c r="E34" s="624"/>
      <c r="F34" s="226">
        <v>20000</v>
      </c>
      <c r="G34" s="227">
        <v>20000</v>
      </c>
      <c r="H34" s="648">
        <v>10000</v>
      </c>
      <c r="I34" s="648">
        <f>SUM(IF(ISBLANK(D34),      (IF((1*(IF(ISBLANK(E34),C34,E34)) + B34) &lt; 0,     0,     (1*(IF(ISBLANK(E34),C34,E34)) + B34)   )),       (IF((1*(IF(ISBLANK(E34),C34,E34)) + D34) &lt; 0,     0,     (1*(IF(ISBLANK(E34),C34,E34)) + D34)   ))  )       *   (I30/3)+(H34))</f>
        <v>10000</v>
      </c>
      <c r="J34" s="217">
        <f t="shared" ref="J34:J45" si="110">SUM(AE34+AJ34+AO34+AT34)</f>
        <v>180000</v>
      </c>
      <c r="K34" s="648">
        <f>SUM(IF(ISBLANK(D34),      (IF((2*(IF(ISBLANK(E34),C34,E34)) + B34) &lt; 0,     0,     (2*(IF(ISBLANK(E34),C34,E34)) + B34)   )),       (IF((2*(IF(ISBLANK(E34),C34,E34)) + D34) &lt; 0,     0,     (2*(IF(ISBLANK(E34),C34,E34)) + D34)   ))  )       *   (K30/3)+(I34))</f>
        <v>10000</v>
      </c>
      <c r="L34" s="648">
        <f>SUM(IF(ISBLANK(D34),      (IF((3*(IF(ISBLANK(E34),C34,E34)) + B34) &lt; 0,     0,     (3*(IF(ISBLANK(E34),C34,E34)) + B34)   )),       (IF((3*(IF(ISBLANK(E34),C34,E34)) + D34) &lt; 0,     0,     (3*(IF(ISBLANK(E34),C34,E34)) + D34)   ))  )       *   (L30/3)+(K34))</f>
        <v>10000</v>
      </c>
      <c r="M34" s="648">
        <f>SUM(IF(ISBLANK(D34),      (IF((4*(IF(ISBLANK(E34),C34,E34)) + B34) &lt; 0,     0,     (4*(IF(ISBLANK(E34),C34,E34)) + B34)   )),       (IF((4*(IF(ISBLANK(E34),C34,E34)) + D34) &lt; 0,     0,     (4*(IF(ISBLANK(E34),C34,E34)) + D34)   ))  )       *   (M30/3)+(L34))</f>
        <v>10000</v>
      </c>
      <c r="N34" s="648">
        <f>SUM(IF(ISBLANK(D34),      (IF((5*(IF(ISBLANK(E34),C34,E34)) + B34) &lt; 0,     0,     (5*(IF(ISBLANK(E34),C34,E34)) + B34)   )),       (IF((5*(IF(ISBLANK(E34),C34,E34)) + D34) &lt; 0,     0,     (5*(IF(ISBLANK(E34),C34,E34)) + D34)   ))  )       *   (N30/3)+(M34))</f>
        <v>10000</v>
      </c>
      <c r="O34" s="217">
        <f t="shared" ref="O34:O45" si="111">SUM(AZ34+BE34+BJ34+BO34)</f>
        <v>120000</v>
      </c>
      <c r="P34" s="648">
        <v>10000</v>
      </c>
      <c r="Q34" s="648">
        <v>10000</v>
      </c>
      <c r="R34" s="648">
        <v>15000</v>
      </c>
      <c r="S34" s="648">
        <v>20000</v>
      </c>
      <c r="T34" s="218">
        <f t="shared" ref="T34:T45" si="112">SUM(BU34+BZ34+CE34+CJ34)</f>
        <v>165000</v>
      </c>
      <c r="U34" s="221"/>
      <c r="V34" s="239">
        <f>SUM(IF(ISBLANK(D34),      (IF((10*(IF(ISBLANK(E34),C34,E34)) + B34) &lt; 0,     0,     (10*(IF(ISBLANK(E34),C34,E34)) + B34)   )),       (IF((10*(IF(ISBLANK(E34),C34,E34)) + D34) &lt; 0,     0,     (10*(IF(ISBLANK(E34),C34,E34)) + D34)   ))  )       *   (V30/3)+(S34))*12</f>
        <v>240000</v>
      </c>
      <c r="W34" s="217">
        <f>SUM(IF(ISBLANK(D34),      (IF((11*(IF(ISBLANK(E34),C34,E34)) + B34) &lt; 0,     0,     (11*(IF(ISBLANK(E34),C34,E34)) + B34)   )),       (IF((11*(IF(ISBLANK(E34),C34,E34)) + D34) &lt; 0,     0,     (11*(IF(ISBLANK(E34),C34,E34)) + D34)   ))  )       *   (W30/12)+(V34/12))*12</f>
        <v>240000</v>
      </c>
      <c r="X34" s="242">
        <f>SUM(IF(ISBLANK(D34),      (IF((12*(IF(ISBLANK(E34),C34,E34)) + B34) &lt; 0,     0,     (12*(IF(ISBLANK(E34),C34,E34)) + B34)   )),       (IF((12*(IF(ISBLANK(E34),C34,E34)) + D34) &lt; 0,     0,     (12*(IF(ISBLANK(E34),C34,E34)) + D34)   ))  )       *   (X30/12)+(W34/12))*12</f>
        <v>240000</v>
      </c>
      <c r="Y34" s="221"/>
      <c r="Z34" s="578">
        <f>SUM(30664+342396+71683+36198+34170+34090+28752+50203+25449+25629+23773+25295+25295+20000)</f>
        <v>773597</v>
      </c>
      <c r="AA34" s="617"/>
      <c r="AB34" s="532">
        <f t="shared" ref="AB34:AB46" si="113">F34</f>
        <v>20000</v>
      </c>
      <c r="AC34" s="492">
        <f t="shared" ref="AC34:AC46" si="114">F34</f>
        <v>20000</v>
      </c>
      <c r="AD34" s="492">
        <f t="shared" ref="AD34:AD46" si="115">F34</f>
        <v>20000</v>
      </c>
      <c r="AE34" s="492">
        <f t="shared" si="98"/>
        <v>60000</v>
      </c>
      <c r="AF34" s="222"/>
      <c r="AG34" s="532">
        <f t="shared" ref="AG34:AG46" si="116">G34</f>
        <v>20000</v>
      </c>
      <c r="AH34" s="492">
        <f t="shared" ref="AH34:AH46" si="117">G34</f>
        <v>20000</v>
      </c>
      <c r="AI34" s="492">
        <f t="shared" ref="AI34:AI46" si="118">G34</f>
        <v>20000</v>
      </c>
      <c r="AJ34" s="492">
        <f t="shared" si="99"/>
        <v>60000</v>
      </c>
      <c r="AK34" s="222"/>
      <c r="AL34" s="532">
        <f t="shared" ref="AL34:AL46" si="119">H34</f>
        <v>10000</v>
      </c>
      <c r="AM34" s="492">
        <f t="shared" ref="AM34:AM46" si="120">H34</f>
        <v>10000</v>
      </c>
      <c r="AN34" s="492">
        <f t="shared" ref="AN34:AN46" si="121">H34</f>
        <v>10000</v>
      </c>
      <c r="AO34" s="492">
        <f t="shared" si="100"/>
        <v>30000</v>
      </c>
      <c r="AP34" s="222"/>
      <c r="AQ34" s="532">
        <f t="shared" ref="AQ34:AQ46" si="122">I34</f>
        <v>10000</v>
      </c>
      <c r="AR34" s="492">
        <f t="shared" ref="AR34:AR46" si="123">I34</f>
        <v>10000</v>
      </c>
      <c r="AS34" s="492">
        <f t="shared" ref="AS34:AS46" si="124">I34</f>
        <v>10000</v>
      </c>
      <c r="AT34" s="492">
        <f t="shared" si="101"/>
        <v>30000</v>
      </c>
      <c r="AU34" s="222"/>
      <c r="AV34" s="617"/>
      <c r="AW34" s="532">
        <f t="shared" ref="AW34:AW46" si="125">K34</f>
        <v>10000</v>
      </c>
      <c r="AX34" s="492">
        <f t="shared" ref="AX34:AX46" si="126">K34</f>
        <v>10000</v>
      </c>
      <c r="AY34" s="492">
        <f t="shared" ref="AY34:AY46" si="127">K34</f>
        <v>10000</v>
      </c>
      <c r="AZ34" s="492">
        <f t="shared" si="102"/>
        <v>30000</v>
      </c>
      <c r="BA34" s="222"/>
      <c r="BB34" s="532">
        <f t="shared" ref="BB34:BB46" si="128">L34</f>
        <v>10000</v>
      </c>
      <c r="BC34" s="492">
        <f t="shared" ref="BC34:BC46" si="129">L34</f>
        <v>10000</v>
      </c>
      <c r="BD34" s="492">
        <f t="shared" ref="BD34:BD46" si="130">L34</f>
        <v>10000</v>
      </c>
      <c r="BE34" s="492">
        <f t="shared" si="103"/>
        <v>30000</v>
      </c>
      <c r="BF34" s="222"/>
      <c r="BG34" s="532">
        <f t="shared" ref="BG34:BG46" si="131">M34</f>
        <v>10000</v>
      </c>
      <c r="BH34" s="492">
        <f t="shared" ref="BH34:BH46" si="132">M34</f>
        <v>10000</v>
      </c>
      <c r="BI34" s="492">
        <f t="shared" ref="BI34:BI46" si="133">M34</f>
        <v>10000</v>
      </c>
      <c r="BJ34" s="492">
        <f t="shared" si="104"/>
        <v>30000</v>
      </c>
      <c r="BK34" s="222"/>
      <c r="BL34" s="532">
        <f t="shared" ref="BL34:BL46" si="134">N34</f>
        <v>10000</v>
      </c>
      <c r="BM34" s="492">
        <f t="shared" ref="BM34:BM46" si="135">N34</f>
        <v>10000</v>
      </c>
      <c r="BN34" s="492">
        <f t="shared" ref="BN34:BN46" si="136">N34</f>
        <v>10000</v>
      </c>
      <c r="BO34" s="492">
        <f t="shared" si="105"/>
        <v>30000</v>
      </c>
      <c r="BP34" s="222"/>
      <c r="BQ34" s="221"/>
      <c r="BR34" s="532">
        <f t="shared" ref="BR34:BR46" si="137">P34</f>
        <v>10000</v>
      </c>
      <c r="BS34" s="492">
        <f t="shared" ref="BS34:BS43" si="138">P34</f>
        <v>10000</v>
      </c>
      <c r="BT34" s="492">
        <f t="shared" ref="BT34:BT46" si="139">P34</f>
        <v>10000</v>
      </c>
      <c r="BU34" s="492">
        <f t="shared" si="106"/>
        <v>30000</v>
      </c>
      <c r="BV34" s="222"/>
      <c r="BW34" s="532">
        <f t="shared" ref="BW34:BW46" si="140">Q34</f>
        <v>10000</v>
      </c>
      <c r="BX34" s="492">
        <f t="shared" ref="BX34:BX46" si="141">Q34</f>
        <v>10000</v>
      </c>
      <c r="BY34" s="492">
        <f t="shared" ref="BY34:BY46" si="142">Q34</f>
        <v>10000</v>
      </c>
      <c r="BZ34" s="492">
        <f t="shared" si="107"/>
        <v>30000</v>
      </c>
      <c r="CA34" s="222"/>
      <c r="CB34" s="532">
        <f t="shared" ref="CB34:CB46" si="143">R34</f>
        <v>15000</v>
      </c>
      <c r="CC34" s="492">
        <f t="shared" ref="CC34:CC46" si="144">R34</f>
        <v>15000</v>
      </c>
      <c r="CD34" s="492">
        <f t="shared" ref="CD34:CD46" si="145">R34</f>
        <v>15000</v>
      </c>
      <c r="CE34" s="492">
        <f t="shared" si="108"/>
        <v>45000</v>
      </c>
      <c r="CF34" s="222"/>
      <c r="CG34" s="532">
        <f t="shared" ref="CG34:CG46" si="146">S34</f>
        <v>20000</v>
      </c>
      <c r="CH34" s="492">
        <f t="shared" ref="CH34:CH46" si="147">S34</f>
        <v>20000</v>
      </c>
      <c r="CI34" s="492">
        <f t="shared" ref="CI34:CI46" si="148">S34</f>
        <v>20000</v>
      </c>
      <c r="CJ34" s="492">
        <f t="shared" si="109"/>
        <v>60000</v>
      </c>
      <c r="CK34" s="222"/>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row>
    <row r="35" spans="1:179" s="57" customFormat="1" ht="9.75" customHeight="1" x14ac:dyDescent="0.15">
      <c r="A35" s="488" t="s">
        <v>155</v>
      </c>
      <c r="B35" s="239">
        <v>0</v>
      </c>
      <c r="C35" s="126">
        <v>0.01</v>
      </c>
      <c r="D35" s="228"/>
      <c r="E35" s="624"/>
      <c r="F35" s="491">
        <f>SUM((IF(ISBLANK(D35),B35,D35))+(F34*(IF(ISBLANK(E35),C35,E35))))</f>
        <v>200</v>
      </c>
      <c r="G35" s="492">
        <f>SUM((IF(ISBLANK(D35),B35,D35))+(G34*(IF(ISBLANK(E35),C35,E35))))</f>
        <v>200</v>
      </c>
      <c r="H35" s="492">
        <f>SUM((IF(ISBLANK(D35),B35,D35))+(H34*(IF(ISBLANK(E35),C35,E35))))</f>
        <v>100</v>
      </c>
      <c r="I35" s="492">
        <f>SUM((IF(ISBLANK(D35),B35,D35))+(I34*(IF(ISBLANK(E35),C35,E35))))</f>
        <v>100</v>
      </c>
      <c r="J35" s="217">
        <f t="shared" si="110"/>
        <v>1800</v>
      </c>
      <c r="K35" s="492">
        <f>SUM((IF(ISBLANK(D35),B35,D35))+(K34*(IF(ISBLANK(E35),C35,E35))))</f>
        <v>100</v>
      </c>
      <c r="L35" s="492">
        <f>SUM((IF(ISBLANK(D35),B35,D35))+(L34*(IF(ISBLANK(E35),C35,E35))))</f>
        <v>100</v>
      </c>
      <c r="M35" s="492">
        <f>SUM((IF(ISBLANK(D35),B35,D35))+(M34*(IF(ISBLANK(E35),C35,E35))))</f>
        <v>100</v>
      </c>
      <c r="N35" s="492">
        <f>SUM((IF(ISBLANK(D35),B35,D35))+(N34*(IF(ISBLANK(E35),C35,E35))))</f>
        <v>100</v>
      </c>
      <c r="O35" s="217">
        <f t="shared" si="111"/>
        <v>1200</v>
      </c>
      <c r="P35" s="492">
        <f>SUM((IF(ISBLANK(D35),B35,D35))+(P34*(IF(ISBLANK(E35),C35,E35))))</f>
        <v>100</v>
      </c>
      <c r="Q35" s="492">
        <f>SUM((IF(ISBLANK(D35),B35,D35))+(Q34*(IF(ISBLANK(E35),C35,E35))))</f>
        <v>100</v>
      </c>
      <c r="R35" s="492">
        <f>SUM((IF(ISBLANK(D35),B35,D35))+(R34*(IF(ISBLANK(E35),C35,E35))))</f>
        <v>150</v>
      </c>
      <c r="S35" s="492">
        <f>SUM((IF(ISBLANK(D35),B35,D35))+(S34*(IF(ISBLANK(E35),C35,E35))))</f>
        <v>200</v>
      </c>
      <c r="T35" s="218">
        <f t="shared" si="112"/>
        <v>1650</v>
      </c>
      <c r="U35" s="221"/>
      <c r="V35" s="239">
        <f>SUM((IF(ISBLANK(D35),B35,D35))+(V34*(IF(ISBLANK(E35),C35,E35))))</f>
        <v>2400</v>
      </c>
      <c r="W35" s="217">
        <f>SUM((IF(ISBLANK(D35),B35,D35))+(W34*(IF(ISBLANK(E35),C35,E35))))</f>
        <v>2400</v>
      </c>
      <c r="X35" s="242">
        <f>SUM((IF(ISBLANK(D35),B35,D35))+(X34*(IF(ISBLANK(E35),C35,E35))))</f>
        <v>2400</v>
      </c>
      <c r="Y35" s="221"/>
      <c r="Z35" s="578">
        <v>4000</v>
      </c>
      <c r="AA35" s="617"/>
      <c r="AB35" s="532">
        <f t="shared" si="113"/>
        <v>200</v>
      </c>
      <c r="AC35" s="492">
        <f t="shared" si="114"/>
        <v>200</v>
      </c>
      <c r="AD35" s="492">
        <f t="shared" si="115"/>
        <v>200</v>
      </c>
      <c r="AE35" s="492">
        <f t="shared" si="98"/>
        <v>600</v>
      </c>
      <c r="AF35" s="222"/>
      <c r="AG35" s="532">
        <f t="shared" si="116"/>
        <v>200</v>
      </c>
      <c r="AH35" s="492">
        <f t="shared" si="117"/>
        <v>200</v>
      </c>
      <c r="AI35" s="492">
        <f t="shared" si="118"/>
        <v>200</v>
      </c>
      <c r="AJ35" s="492">
        <f t="shared" si="99"/>
        <v>600</v>
      </c>
      <c r="AK35" s="222"/>
      <c r="AL35" s="532">
        <f t="shared" si="119"/>
        <v>100</v>
      </c>
      <c r="AM35" s="492">
        <f t="shared" si="120"/>
        <v>100</v>
      </c>
      <c r="AN35" s="492">
        <f t="shared" si="121"/>
        <v>100</v>
      </c>
      <c r="AO35" s="492">
        <f t="shared" si="100"/>
        <v>300</v>
      </c>
      <c r="AP35" s="222"/>
      <c r="AQ35" s="532">
        <f t="shared" si="122"/>
        <v>100</v>
      </c>
      <c r="AR35" s="492">
        <f t="shared" si="123"/>
        <v>100</v>
      </c>
      <c r="AS35" s="492">
        <f t="shared" si="124"/>
        <v>100</v>
      </c>
      <c r="AT35" s="492">
        <f t="shared" si="101"/>
        <v>300</v>
      </c>
      <c r="AU35" s="222"/>
      <c r="AV35" s="617"/>
      <c r="AW35" s="532">
        <f t="shared" si="125"/>
        <v>100</v>
      </c>
      <c r="AX35" s="492">
        <f t="shared" si="126"/>
        <v>100</v>
      </c>
      <c r="AY35" s="492">
        <f t="shared" si="127"/>
        <v>100</v>
      </c>
      <c r="AZ35" s="492">
        <f t="shared" si="102"/>
        <v>300</v>
      </c>
      <c r="BA35" s="222"/>
      <c r="BB35" s="532">
        <f t="shared" si="128"/>
        <v>100</v>
      </c>
      <c r="BC35" s="492">
        <f t="shared" si="129"/>
        <v>100</v>
      </c>
      <c r="BD35" s="492">
        <f t="shared" si="130"/>
        <v>100</v>
      </c>
      <c r="BE35" s="492">
        <f t="shared" si="103"/>
        <v>300</v>
      </c>
      <c r="BF35" s="222"/>
      <c r="BG35" s="532">
        <f t="shared" si="131"/>
        <v>100</v>
      </c>
      <c r="BH35" s="492">
        <f t="shared" si="132"/>
        <v>100</v>
      </c>
      <c r="BI35" s="492">
        <f t="shared" si="133"/>
        <v>100</v>
      </c>
      <c r="BJ35" s="492">
        <f t="shared" si="104"/>
        <v>300</v>
      </c>
      <c r="BK35" s="222"/>
      <c r="BL35" s="532">
        <f t="shared" si="134"/>
        <v>100</v>
      </c>
      <c r="BM35" s="492">
        <f t="shared" si="135"/>
        <v>100</v>
      </c>
      <c r="BN35" s="492">
        <f t="shared" si="136"/>
        <v>100</v>
      </c>
      <c r="BO35" s="492">
        <f t="shared" si="105"/>
        <v>300</v>
      </c>
      <c r="BP35" s="222"/>
      <c r="BQ35" s="221"/>
      <c r="BR35" s="532">
        <f t="shared" si="137"/>
        <v>100</v>
      </c>
      <c r="BS35" s="492">
        <f t="shared" si="138"/>
        <v>100</v>
      </c>
      <c r="BT35" s="492">
        <f t="shared" si="139"/>
        <v>100</v>
      </c>
      <c r="BU35" s="492">
        <f t="shared" si="106"/>
        <v>300</v>
      </c>
      <c r="BV35" s="222"/>
      <c r="BW35" s="532">
        <f t="shared" si="140"/>
        <v>100</v>
      </c>
      <c r="BX35" s="492">
        <f t="shared" si="141"/>
        <v>100</v>
      </c>
      <c r="BY35" s="492">
        <f t="shared" si="142"/>
        <v>100</v>
      </c>
      <c r="BZ35" s="492">
        <f t="shared" si="107"/>
        <v>300</v>
      </c>
      <c r="CA35" s="222"/>
      <c r="CB35" s="532">
        <f t="shared" si="143"/>
        <v>150</v>
      </c>
      <c r="CC35" s="492">
        <f t="shared" si="144"/>
        <v>150</v>
      </c>
      <c r="CD35" s="492">
        <f t="shared" si="145"/>
        <v>150</v>
      </c>
      <c r="CE35" s="492">
        <f t="shared" si="108"/>
        <v>450</v>
      </c>
      <c r="CF35" s="222"/>
      <c r="CG35" s="532">
        <f t="shared" si="146"/>
        <v>200</v>
      </c>
      <c r="CH35" s="492">
        <f t="shared" si="147"/>
        <v>200</v>
      </c>
      <c r="CI35" s="492">
        <f t="shared" si="148"/>
        <v>200</v>
      </c>
      <c r="CJ35" s="492">
        <f t="shared" si="109"/>
        <v>600</v>
      </c>
      <c r="CK35" s="222"/>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row>
    <row r="36" spans="1:179" s="57" customFormat="1" ht="9.75" customHeight="1" x14ac:dyDescent="0.15">
      <c r="A36" s="488" t="s">
        <v>156</v>
      </c>
      <c r="B36" s="374">
        <v>2000</v>
      </c>
      <c r="C36" s="126">
        <v>0.06</v>
      </c>
      <c r="D36" s="228"/>
      <c r="E36" s="624"/>
      <c r="F36" s="491">
        <f>SUM((IF(ISBLANK(D36),B36,D36))+(F34*(IF(ISBLANK(E36),C36,E36))))</f>
        <v>3200</v>
      </c>
      <c r="G36" s="492">
        <f>SUM((IF(ISBLANK(D36),B36,D36))+(G34*(IF(ISBLANK(E36),C36,E36))))</f>
        <v>3200</v>
      </c>
      <c r="H36" s="492">
        <f>SUM((IF(ISBLANK(D36),B36,D36))+(H34*(IF(ISBLANK(E36),C36,E36))))</f>
        <v>2600</v>
      </c>
      <c r="I36" s="492">
        <f>SUM((IF(ISBLANK(D36),B36,D36))+(I34*(IF(ISBLANK(E36),C36,E36))))</f>
        <v>2600</v>
      </c>
      <c r="J36" s="217">
        <f t="shared" si="110"/>
        <v>34800</v>
      </c>
      <c r="K36" s="492">
        <f>SUM((IF(ISBLANK(D36),B36,D36))+(K34*(IF(ISBLANK(E36),C36,E36))))</f>
        <v>2600</v>
      </c>
      <c r="L36" s="492">
        <f>SUM((IF(ISBLANK(D36),B36,D36))+(L34*(IF(ISBLANK(E36),C36,E36))))</f>
        <v>2600</v>
      </c>
      <c r="M36" s="492">
        <f>SUM((IF(ISBLANK(D36),B36,D36))+(M34*(IF(ISBLANK(E36),C36,E36))))</f>
        <v>2600</v>
      </c>
      <c r="N36" s="492">
        <f>SUM((IF(ISBLANK(D36),B36,D36))+(N34*(IF(ISBLANK(E36),C36,E36))))</f>
        <v>2600</v>
      </c>
      <c r="O36" s="217">
        <f t="shared" si="111"/>
        <v>31200</v>
      </c>
      <c r="P36" s="492">
        <f>SUM((IF(ISBLANK(D36),B36,D36))+(P34*(IF(ISBLANK(E36),C36,E36))))</f>
        <v>2600</v>
      </c>
      <c r="Q36" s="492">
        <f>SUM((IF(ISBLANK(D36),B36,D36))+(Q34*(IF(ISBLANK(E36),C36,E36))))</f>
        <v>2600</v>
      </c>
      <c r="R36" s="492">
        <f>SUM((IF(ISBLANK(D36),B36,D36))+(R34*(IF(ISBLANK(E36),C36,E36))))</f>
        <v>2900</v>
      </c>
      <c r="S36" s="492">
        <f>SUM((IF(ISBLANK(D36),B36,D36))+(S34*(IF(ISBLANK(E36),C36,E36))))</f>
        <v>3200</v>
      </c>
      <c r="T36" s="218">
        <f t="shared" si="112"/>
        <v>33900</v>
      </c>
      <c r="U36" s="221"/>
      <c r="V36" s="239">
        <f>SUM((IF(ISBLANK(D36),B36,D36))+(V34*(IF(ISBLANK(E36),C36,E36))))</f>
        <v>16400</v>
      </c>
      <c r="W36" s="217">
        <f>SUM((IF(ISBLANK(D36),B36,D36))+(W34*(IF(ISBLANK(E36),C36,E36))))</f>
        <v>16400</v>
      </c>
      <c r="X36" s="242">
        <f>SUM((IF(ISBLANK(D36),B36,D36))+(X34*(IF(ISBLANK(E36),C36,E36))))</f>
        <v>16400</v>
      </c>
      <c r="Y36" s="221"/>
      <c r="Z36" s="578">
        <f>SUM(3832+10734+12859+20000)</f>
        <v>47425</v>
      </c>
      <c r="AA36" s="617"/>
      <c r="AB36" s="532">
        <f t="shared" si="113"/>
        <v>3200</v>
      </c>
      <c r="AC36" s="492">
        <f t="shared" si="114"/>
        <v>3200</v>
      </c>
      <c r="AD36" s="492">
        <f t="shared" si="115"/>
        <v>3200</v>
      </c>
      <c r="AE36" s="492">
        <f t="shared" si="98"/>
        <v>9600</v>
      </c>
      <c r="AF36" s="222"/>
      <c r="AG36" s="532">
        <f t="shared" si="116"/>
        <v>3200</v>
      </c>
      <c r="AH36" s="492">
        <f t="shared" si="117"/>
        <v>3200</v>
      </c>
      <c r="AI36" s="492">
        <f t="shared" si="118"/>
        <v>3200</v>
      </c>
      <c r="AJ36" s="492">
        <f t="shared" si="99"/>
        <v>9600</v>
      </c>
      <c r="AK36" s="222"/>
      <c r="AL36" s="532">
        <f t="shared" si="119"/>
        <v>2600</v>
      </c>
      <c r="AM36" s="492">
        <f t="shared" si="120"/>
        <v>2600</v>
      </c>
      <c r="AN36" s="492">
        <f t="shared" si="121"/>
        <v>2600</v>
      </c>
      <c r="AO36" s="492">
        <f t="shared" si="100"/>
        <v>7800</v>
      </c>
      <c r="AP36" s="222"/>
      <c r="AQ36" s="532">
        <f t="shared" si="122"/>
        <v>2600</v>
      </c>
      <c r="AR36" s="492">
        <f t="shared" si="123"/>
        <v>2600</v>
      </c>
      <c r="AS36" s="492">
        <f t="shared" si="124"/>
        <v>2600</v>
      </c>
      <c r="AT36" s="492">
        <f t="shared" si="101"/>
        <v>7800</v>
      </c>
      <c r="AU36" s="222"/>
      <c r="AV36" s="617"/>
      <c r="AW36" s="532">
        <f t="shared" si="125"/>
        <v>2600</v>
      </c>
      <c r="AX36" s="492">
        <f t="shared" si="126"/>
        <v>2600</v>
      </c>
      <c r="AY36" s="492">
        <f t="shared" si="127"/>
        <v>2600</v>
      </c>
      <c r="AZ36" s="492">
        <f t="shared" si="102"/>
        <v>7800</v>
      </c>
      <c r="BA36" s="222"/>
      <c r="BB36" s="532">
        <f t="shared" si="128"/>
        <v>2600</v>
      </c>
      <c r="BC36" s="492">
        <f>L36</f>
        <v>2600</v>
      </c>
      <c r="BD36" s="492">
        <f t="shared" si="130"/>
        <v>2600</v>
      </c>
      <c r="BE36" s="492">
        <f t="shared" si="103"/>
        <v>7800</v>
      </c>
      <c r="BF36" s="222"/>
      <c r="BG36" s="532">
        <f t="shared" si="131"/>
        <v>2600</v>
      </c>
      <c r="BH36" s="492">
        <f t="shared" si="132"/>
        <v>2600</v>
      </c>
      <c r="BI36" s="492">
        <f t="shared" si="133"/>
        <v>2600</v>
      </c>
      <c r="BJ36" s="492">
        <f t="shared" si="104"/>
        <v>7800</v>
      </c>
      <c r="BK36" s="222"/>
      <c r="BL36" s="532">
        <f t="shared" si="134"/>
        <v>2600</v>
      </c>
      <c r="BM36" s="492">
        <f t="shared" si="135"/>
        <v>2600</v>
      </c>
      <c r="BN36" s="492">
        <f t="shared" si="136"/>
        <v>2600</v>
      </c>
      <c r="BO36" s="492">
        <f t="shared" si="105"/>
        <v>7800</v>
      </c>
      <c r="BP36" s="222"/>
      <c r="BQ36" s="221"/>
      <c r="BR36" s="532">
        <f t="shared" si="137"/>
        <v>2600</v>
      </c>
      <c r="BS36" s="492">
        <f t="shared" si="138"/>
        <v>2600</v>
      </c>
      <c r="BT36" s="492">
        <f t="shared" si="139"/>
        <v>2600</v>
      </c>
      <c r="BU36" s="492">
        <f t="shared" si="106"/>
        <v>7800</v>
      </c>
      <c r="BV36" s="222"/>
      <c r="BW36" s="532">
        <f t="shared" si="140"/>
        <v>2600</v>
      </c>
      <c r="BX36" s="492">
        <f t="shared" si="141"/>
        <v>2600</v>
      </c>
      <c r="BY36" s="492">
        <f t="shared" si="142"/>
        <v>2600</v>
      </c>
      <c r="BZ36" s="492">
        <f t="shared" si="107"/>
        <v>7800</v>
      </c>
      <c r="CA36" s="222"/>
      <c r="CB36" s="532">
        <f t="shared" si="143"/>
        <v>2900</v>
      </c>
      <c r="CC36" s="492">
        <f t="shared" si="144"/>
        <v>2900</v>
      </c>
      <c r="CD36" s="492">
        <f t="shared" si="145"/>
        <v>2900</v>
      </c>
      <c r="CE36" s="492">
        <f t="shared" si="108"/>
        <v>8700</v>
      </c>
      <c r="CF36" s="222"/>
      <c r="CG36" s="532">
        <f t="shared" si="146"/>
        <v>3200</v>
      </c>
      <c r="CH36" s="492">
        <f t="shared" si="147"/>
        <v>3200</v>
      </c>
      <c r="CI36" s="492">
        <f t="shared" si="148"/>
        <v>3200</v>
      </c>
      <c r="CJ36" s="492">
        <f t="shared" si="109"/>
        <v>9600</v>
      </c>
      <c r="CK36" s="222"/>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row>
    <row r="37" spans="1:179" s="57" customFormat="1" ht="9.75" customHeight="1" x14ac:dyDescent="0.15">
      <c r="A37" s="488" t="s">
        <v>157</v>
      </c>
      <c r="B37" s="145">
        <v>0.3</v>
      </c>
      <c r="C37" s="285">
        <v>0</v>
      </c>
      <c r="D37" s="291"/>
      <c r="E37" s="624"/>
      <c r="F37" s="491">
        <f>SUM((IF(AE21*((0*(IF(ISBLANK(E37),C37,E37)))+IF(ISBLANK(D37),B37,D37)) &lt; 0, 0, (AE21*((0*(IF(ISBLANK(E37),C37,E37)))+IF(ISBLANK(D37),B37,D37)))))/3)</f>
        <v>0</v>
      </c>
      <c r="G37" s="492">
        <f>SUM((IF(AJ21*((0*(IF(ISBLANK(E37),C37,E37)))+IF(ISBLANK(D37),B37,D37)) &lt; 0, 0, (AJ21*((0*(IF(ISBLANK(E37),C37,E37)))+IF(ISBLANK(D37),B37,D37)))))/3)</f>
        <v>0</v>
      </c>
      <c r="H37" s="492">
        <f>SUM((IF(AO21*((0*(IF(ISBLANK(E37),C37,E37)))+IF(ISBLANK(D37),B37,D37)) &lt; 0, 0, (AO21*((0*(IF(ISBLANK(E37),C37,E37)))+IF(ISBLANK(D37),B37,D37)))))/3)</f>
        <v>481.4411404811612</v>
      </c>
      <c r="I37" s="492">
        <f>SUM((IF(AT21*((1*(IF(ISBLANK(E37),C37,E37)))+IF(ISBLANK(D37),B37,D37)) &lt; 0, 0, (AT21*((1*(IF(ISBLANK(E37),C37,E37)))+IF(ISBLANK(D37),B37,D37)))))/3)</f>
        <v>896.20751672200174</v>
      </c>
      <c r="J37" s="217">
        <f t="shared" si="110"/>
        <v>4132.9459716094889</v>
      </c>
      <c r="K37" s="492">
        <f>SUM((IF(AZ21*((2*(IF(ISBLANK(E37),C37,E37)))+IF(ISBLANK(D37),B37,D37)) &lt; 0, 0, (AZ21*((2*(IF(ISBLANK(E37),C37,E37)))+IF(ISBLANK(D37),B37,D37)))))/3)</f>
        <v>1425.1637244977685</v>
      </c>
      <c r="L37" s="492">
        <f>SUM((IF(BE21*((3*(IF(ISBLANK(E37),C37,E37)))+IF(ISBLANK(D37),B37,D37)) &lt; 0, 0, (BE21*((3*(IF(ISBLANK(E37),C37,E37)))+IF(ISBLANK(D37),B37,D37)))))/3)</f>
        <v>2058.256530143572</v>
      </c>
      <c r="M37" s="492">
        <f>SUM((IF(BJ21*((4*(IF(ISBLANK(E37),C37,E37)))+IF(ISBLANK(D37),B37,D37)) &lt; 0, 0, (BJ21*((4*(IF(ISBLANK(E37),C37,E37)))+IF(ISBLANK(D37),B37,D37)))))/3)</f>
        <v>2766.2739238689592</v>
      </c>
      <c r="N37" s="492">
        <f>SUM((IF(BO21*((5*(IF(ISBLANK(E37),C37,E37)))+IF(ISBLANK(D37),B37,D37)) &lt; 0, 0, (BO21*((5*(IF(ISBLANK(E37),C37,E37)))+IF(ISBLANK(D37),B37,D37)))))/3)</f>
        <v>3557.9650378037145</v>
      </c>
      <c r="O37" s="217">
        <f t="shared" si="111"/>
        <v>29422.97764894204</v>
      </c>
      <c r="P37" s="492">
        <f>SUM((IF(BU21*((6*(IF(ISBLANK(E37),C37,E37)))+IF(ISBLANK(D37),B37,D37)) &lt; 0, 0, (BU21*((6*(IF(ISBLANK(E37),C37,E37)))+IF(ISBLANK(D37),B37,D37)))))/3)</f>
        <v>4442.9862037425837</v>
      </c>
      <c r="Q37" s="492">
        <f>SUM((IF(BZ21*((7*(IF(ISBLANK(E37),C37,E37)))+IF(ISBLANK(D37),B37,D37)) &lt; 0, 0, (BZ21*((7*(IF(ISBLANK(E37),C37,E37)))+IF(ISBLANK(D37),B37,D37)))))/3)</f>
        <v>5475.5997361940063</v>
      </c>
      <c r="R37" s="492">
        <f>SUM((IF(CE21*((8*(IF(ISBLANK(E37),C37,E37)))+IF(ISBLANK(D37),B37,D37)) &lt; 0, 0, (CE21*((8*(IF(ISBLANK(E37),C37,E37)))+IF(ISBLANK(D37),B37,D37)))))/3)</f>
        <v>6716.3552359188361</v>
      </c>
      <c r="S37" s="492">
        <f>SUM((IF(CJ21*((9*(IF(ISBLANK(E37),C37,E37)))+IF(ISBLANK(D37),B37,D37)) &lt; 0, 0, (CJ21*((9*(IF(ISBLANK(E37),C37,E37)))+IF(ISBLANK(D37),B37,D37)))))/3)</f>
        <v>8231.1614068363178</v>
      </c>
      <c r="T37" s="218">
        <f t="shared" si="112"/>
        <v>74598.307748075225</v>
      </c>
      <c r="U37" s="221"/>
      <c r="V37" s="239">
        <f>SUM((IF((V21*V18)*((10*(IF(ISBLANK(E37),C37,E37)))+IF(ISBLANK(D37),B37,D37)) &lt; 0, 0, ((V21*V18)*((10*(IF(ISBLANK(E37),C37,E37)))+IF(ISBLANK(D37),B37,D37))))))</f>
        <v>339028.87868187565</v>
      </c>
      <c r="W37" s="217">
        <f>SUM((IF((W21*W18)*((10*(IF(ISBLANK(E37),C37,E37)))+IF(ISBLANK(D37),B37,D37)) &lt; 0, 0, ((W21*W18)*((10*(IF(ISBLANK(E37),C37,E37)))+IF(ISBLANK(D37),B37,D37))))))</f>
        <v>751186.11646807194</v>
      </c>
      <c r="X37" s="242">
        <f>SUM((IF((X21*X18)*((10*(IF(ISBLANK(E37),C37,E37)))+IF(ISBLANK(D37),B37,D37)) &lt; 0, 0, ((X21*X18)*((10*(IF(ISBLANK(E37),C37,E37)))+IF(ISBLANK(D37),B37,D37))))))</f>
        <v>1224582.5877111109</v>
      </c>
      <c r="Y37" s="221"/>
      <c r="Z37" s="578">
        <v>0</v>
      </c>
      <c r="AA37" s="617"/>
      <c r="AB37" s="532">
        <f t="shared" si="113"/>
        <v>0</v>
      </c>
      <c r="AC37" s="492">
        <f t="shared" si="114"/>
        <v>0</v>
      </c>
      <c r="AD37" s="492">
        <f t="shared" si="115"/>
        <v>0</v>
      </c>
      <c r="AE37" s="492">
        <f>SUM(AB37:AD37)</f>
        <v>0</v>
      </c>
      <c r="AF37" s="222"/>
      <c r="AG37" s="532">
        <f t="shared" si="116"/>
        <v>0</v>
      </c>
      <c r="AH37" s="492">
        <f t="shared" si="117"/>
        <v>0</v>
      </c>
      <c r="AI37" s="492">
        <f t="shared" si="118"/>
        <v>0</v>
      </c>
      <c r="AJ37" s="492">
        <f>SUM(AG37:AI37)</f>
        <v>0</v>
      </c>
      <c r="AK37" s="222"/>
      <c r="AL37" s="532">
        <f t="shared" si="119"/>
        <v>481.4411404811612</v>
      </c>
      <c r="AM37" s="492">
        <f t="shared" si="120"/>
        <v>481.4411404811612</v>
      </c>
      <c r="AN37" s="492">
        <f t="shared" si="121"/>
        <v>481.4411404811612</v>
      </c>
      <c r="AO37" s="492">
        <f>SUM(AL37:AN37)</f>
        <v>1444.3234214434835</v>
      </c>
      <c r="AP37" s="222"/>
      <c r="AQ37" s="532">
        <f t="shared" si="122"/>
        <v>896.20751672200174</v>
      </c>
      <c r="AR37" s="492">
        <f t="shared" si="123"/>
        <v>896.20751672200174</v>
      </c>
      <c r="AS37" s="492">
        <f t="shared" si="124"/>
        <v>896.20751672200174</v>
      </c>
      <c r="AT37" s="492">
        <f>SUM(AQ37:AS37)</f>
        <v>2688.6225501660051</v>
      </c>
      <c r="AU37" s="222"/>
      <c r="AV37" s="617"/>
      <c r="AW37" s="532">
        <f t="shared" si="125"/>
        <v>1425.1637244977685</v>
      </c>
      <c r="AX37" s="492">
        <f t="shared" si="126"/>
        <v>1425.1637244977685</v>
      </c>
      <c r="AY37" s="492">
        <f t="shared" si="127"/>
        <v>1425.1637244977685</v>
      </c>
      <c r="AZ37" s="492">
        <f>SUM(AW37:AY37)</f>
        <v>4275.4911734933057</v>
      </c>
      <c r="BA37" s="222"/>
      <c r="BB37" s="532">
        <f t="shared" si="128"/>
        <v>2058.256530143572</v>
      </c>
      <c r="BC37" s="492">
        <f>L37</f>
        <v>2058.256530143572</v>
      </c>
      <c r="BD37" s="492">
        <f t="shared" si="130"/>
        <v>2058.256530143572</v>
      </c>
      <c r="BE37" s="492">
        <f>SUM(BB37:BD37)</f>
        <v>6174.7695904307166</v>
      </c>
      <c r="BF37" s="222"/>
      <c r="BG37" s="532">
        <f t="shared" si="131"/>
        <v>2766.2739238689592</v>
      </c>
      <c r="BH37" s="492">
        <f t="shared" si="132"/>
        <v>2766.2739238689592</v>
      </c>
      <c r="BI37" s="492">
        <f t="shared" si="133"/>
        <v>2766.2739238689592</v>
      </c>
      <c r="BJ37" s="492">
        <f>SUM(BG37:BI37)</f>
        <v>8298.8217716068775</v>
      </c>
      <c r="BK37" s="222"/>
      <c r="BL37" s="532">
        <f t="shared" si="134"/>
        <v>3557.9650378037145</v>
      </c>
      <c r="BM37" s="492">
        <f t="shared" si="135"/>
        <v>3557.9650378037145</v>
      </c>
      <c r="BN37" s="492">
        <f t="shared" si="136"/>
        <v>3557.9650378037145</v>
      </c>
      <c r="BO37" s="492">
        <f>SUM(BL37:BN37)</f>
        <v>10673.895113411143</v>
      </c>
      <c r="BP37" s="222"/>
      <c r="BQ37" s="221"/>
      <c r="BR37" s="532">
        <f t="shared" si="137"/>
        <v>4442.9862037425837</v>
      </c>
      <c r="BS37" s="492">
        <f t="shared" si="138"/>
        <v>4442.9862037425837</v>
      </c>
      <c r="BT37" s="492">
        <f t="shared" si="139"/>
        <v>4442.9862037425837</v>
      </c>
      <c r="BU37" s="492">
        <f>SUM(BR37:BT37)</f>
        <v>13328.95861122775</v>
      </c>
      <c r="BV37" s="222"/>
      <c r="BW37" s="532">
        <f t="shared" si="140"/>
        <v>5475.5997361940063</v>
      </c>
      <c r="BX37" s="492">
        <f t="shared" si="141"/>
        <v>5475.5997361940063</v>
      </c>
      <c r="BY37" s="492">
        <f t="shared" si="142"/>
        <v>5475.5997361940063</v>
      </c>
      <c r="BZ37" s="492">
        <f>SUM(BW37:BY37)</f>
        <v>16426.799208582019</v>
      </c>
      <c r="CA37" s="222"/>
      <c r="CB37" s="532">
        <f t="shared" si="143"/>
        <v>6716.3552359188361</v>
      </c>
      <c r="CC37" s="492">
        <f t="shared" si="144"/>
        <v>6716.3552359188361</v>
      </c>
      <c r="CD37" s="492">
        <f t="shared" si="145"/>
        <v>6716.3552359188361</v>
      </c>
      <c r="CE37" s="492">
        <f>SUM(CB37:CD37)</f>
        <v>20149.065707756508</v>
      </c>
      <c r="CF37" s="222"/>
      <c r="CG37" s="532">
        <f t="shared" si="146"/>
        <v>8231.1614068363178</v>
      </c>
      <c r="CH37" s="492">
        <f t="shared" si="147"/>
        <v>8231.1614068363178</v>
      </c>
      <c r="CI37" s="492">
        <f t="shared" si="148"/>
        <v>8231.1614068363178</v>
      </c>
      <c r="CJ37" s="492">
        <f>SUM(CG37:CI37)</f>
        <v>24693.484220508952</v>
      </c>
      <c r="CK37" s="222"/>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row>
    <row r="38" spans="1:179" s="57" customFormat="1" ht="9.75" customHeight="1" x14ac:dyDescent="0.15">
      <c r="A38" s="488" t="s">
        <v>158</v>
      </c>
      <c r="B38" s="239">
        <v>3000</v>
      </c>
      <c r="C38" s="218">
        <v>5000</v>
      </c>
      <c r="D38" s="228"/>
      <c r="E38" s="229"/>
      <c r="F38" s="491">
        <f>SUM((IF(ISBLANK(D38),B38,D38)))</f>
        <v>3000</v>
      </c>
      <c r="G38" s="492">
        <f>SUM((IF(ISBLANK(D38),B38,D38)))</f>
        <v>3000</v>
      </c>
      <c r="H38" s="492">
        <f>SUM((IF(ISBLANK(D38),B38,D38)))</f>
        <v>3000</v>
      </c>
      <c r="I38" s="492">
        <f>SUM((IF(ISBLANK(D38),B38,D38)))</f>
        <v>3000</v>
      </c>
      <c r="J38" s="217">
        <f t="shared" si="110"/>
        <v>36000</v>
      </c>
      <c r="K38" s="492">
        <f>SUM((IF(ISBLANK(D38),B38,D38))+(IF(ISBLANK(E38),C38,E38)))</f>
        <v>8000</v>
      </c>
      <c r="L38" s="492">
        <f>SUM((IF(ISBLANK(D38),B38,D38))+(IF(ISBLANK(E38),C38,E38)))</f>
        <v>8000</v>
      </c>
      <c r="M38" s="492">
        <f>SUM((IF(ISBLANK(D38),B38,D38))+(IF(ISBLANK(E38),C38,E38)))</f>
        <v>8000</v>
      </c>
      <c r="N38" s="492">
        <f>SUM((IF(ISBLANK(D38),B38,D38))+(IF(ISBLANK(E38),C38,E38)))</f>
        <v>8000</v>
      </c>
      <c r="O38" s="217">
        <f t="shared" si="111"/>
        <v>96000</v>
      </c>
      <c r="P38" s="492">
        <f>SUM((IF(ISBLANK(D38),B38,D38))+(IF(ISBLANK(E38),C38,E38)))</f>
        <v>8000</v>
      </c>
      <c r="Q38" s="492">
        <f>SUM((IF(ISBLANK(D38),B38,D38))+(IF(ISBLANK(E38),C38,E38)))</f>
        <v>8000</v>
      </c>
      <c r="R38" s="492">
        <f>SUM((IF(ISBLANK(D38),B38,D38))+(IF(ISBLANK(E38),C38,E38)))</f>
        <v>8000</v>
      </c>
      <c r="S38" s="492">
        <f>SUM((IF(ISBLANK(D38),B38,D38))+(IF(ISBLANK(E38),C38,E38)))</f>
        <v>8000</v>
      </c>
      <c r="T38" s="218">
        <f t="shared" si="112"/>
        <v>96000</v>
      </c>
      <c r="U38" s="221"/>
      <c r="V38" s="239">
        <f>SUM(S38*12)</f>
        <v>96000</v>
      </c>
      <c r="W38" s="217">
        <f>SUM(S38*12)</f>
        <v>96000</v>
      </c>
      <c r="X38" s="242">
        <f>SUM(S38*12)</f>
        <v>96000</v>
      </c>
      <c r="Y38" s="221"/>
      <c r="Z38" s="578">
        <v>45000</v>
      </c>
      <c r="AA38" s="617"/>
      <c r="AB38" s="532">
        <f t="shared" si="113"/>
        <v>3000</v>
      </c>
      <c r="AC38" s="492">
        <f t="shared" si="114"/>
        <v>3000</v>
      </c>
      <c r="AD38" s="492">
        <f t="shared" si="115"/>
        <v>3000</v>
      </c>
      <c r="AE38" s="492">
        <f t="shared" si="98"/>
        <v>9000</v>
      </c>
      <c r="AF38" s="222"/>
      <c r="AG38" s="532">
        <f t="shared" si="116"/>
        <v>3000</v>
      </c>
      <c r="AH38" s="492">
        <f t="shared" si="117"/>
        <v>3000</v>
      </c>
      <c r="AI38" s="492">
        <f t="shared" si="118"/>
        <v>3000</v>
      </c>
      <c r="AJ38" s="492">
        <f t="shared" si="99"/>
        <v>9000</v>
      </c>
      <c r="AK38" s="222"/>
      <c r="AL38" s="532">
        <f t="shared" si="119"/>
        <v>3000</v>
      </c>
      <c r="AM38" s="492">
        <f t="shared" si="120"/>
        <v>3000</v>
      </c>
      <c r="AN38" s="492">
        <f t="shared" si="121"/>
        <v>3000</v>
      </c>
      <c r="AO38" s="492">
        <f t="shared" si="100"/>
        <v>9000</v>
      </c>
      <c r="AP38" s="222"/>
      <c r="AQ38" s="532">
        <f t="shared" si="122"/>
        <v>3000</v>
      </c>
      <c r="AR38" s="492">
        <f t="shared" si="123"/>
        <v>3000</v>
      </c>
      <c r="AS38" s="492">
        <f t="shared" si="124"/>
        <v>3000</v>
      </c>
      <c r="AT38" s="492">
        <f t="shared" si="101"/>
        <v>9000</v>
      </c>
      <c r="AU38" s="222"/>
      <c r="AV38" s="617"/>
      <c r="AW38" s="532">
        <f t="shared" si="125"/>
        <v>8000</v>
      </c>
      <c r="AX38" s="492">
        <f t="shared" si="126"/>
        <v>8000</v>
      </c>
      <c r="AY38" s="492">
        <f t="shared" si="127"/>
        <v>8000</v>
      </c>
      <c r="AZ38" s="492">
        <f t="shared" si="102"/>
        <v>24000</v>
      </c>
      <c r="BA38" s="222"/>
      <c r="BB38" s="532">
        <f t="shared" si="128"/>
        <v>8000</v>
      </c>
      <c r="BC38" s="492">
        <f t="shared" si="129"/>
        <v>8000</v>
      </c>
      <c r="BD38" s="492">
        <f t="shared" si="130"/>
        <v>8000</v>
      </c>
      <c r="BE38" s="492">
        <f t="shared" si="103"/>
        <v>24000</v>
      </c>
      <c r="BF38" s="222"/>
      <c r="BG38" s="532">
        <f t="shared" si="131"/>
        <v>8000</v>
      </c>
      <c r="BH38" s="492">
        <f t="shared" si="132"/>
        <v>8000</v>
      </c>
      <c r="BI38" s="492">
        <f t="shared" si="133"/>
        <v>8000</v>
      </c>
      <c r="BJ38" s="492">
        <f t="shared" si="104"/>
        <v>24000</v>
      </c>
      <c r="BK38" s="222"/>
      <c r="BL38" s="532">
        <f t="shared" si="134"/>
        <v>8000</v>
      </c>
      <c r="BM38" s="492">
        <f t="shared" si="135"/>
        <v>8000</v>
      </c>
      <c r="BN38" s="492">
        <f t="shared" si="136"/>
        <v>8000</v>
      </c>
      <c r="BO38" s="492">
        <f t="shared" si="105"/>
        <v>24000</v>
      </c>
      <c r="BP38" s="222"/>
      <c r="BQ38" s="221"/>
      <c r="BR38" s="532">
        <f t="shared" si="137"/>
        <v>8000</v>
      </c>
      <c r="BS38" s="492">
        <f t="shared" si="138"/>
        <v>8000</v>
      </c>
      <c r="BT38" s="492">
        <f t="shared" si="139"/>
        <v>8000</v>
      </c>
      <c r="BU38" s="492">
        <f t="shared" si="106"/>
        <v>24000</v>
      </c>
      <c r="BV38" s="222"/>
      <c r="BW38" s="532">
        <f t="shared" si="140"/>
        <v>8000</v>
      </c>
      <c r="BX38" s="492">
        <f t="shared" si="141"/>
        <v>8000</v>
      </c>
      <c r="BY38" s="492">
        <f t="shared" si="142"/>
        <v>8000</v>
      </c>
      <c r="BZ38" s="492">
        <f t="shared" si="107"/>
        <v>24000</v>
      </c>
      <c r="CA38" s="222"/>
      <c r="CB38" s="532">
        <f t="shared" si="143"/>
        <v>8000</v>
      </c>
      <c r="CC38" s="492">
        <f t="shared" si="144"/>
        <v>8000</v>
      </c>
      <c r="CD38" s="492">
        <f t="shared" si="145"/>
        <v>8000</v>
      </c>
      <c r="CE38" s="492">
        <f t="shared" si="108"/>
        <v>24000</v>
      </c>
      <c r="CF38" s="222"/>
      <c r="CG38" s="532">
        <f t="shared" si="146"/>
        <v>8000</v>
      </c>
      <c r="CH38" s="492">
        <f t="shared" si="147"/>
        <v>8000</v>
      </c>
      <c r="CI38" s="492">
        <f t="shared" si="148"/>
        <v>8000</v>
      </c>
      <c r="CJ38" s="492">
        <f t="shared" si="109"/>
        <v>24000</v>
      </c>
      <c r="CK38" s="222"/>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row>
    <row r="39" spans="1:179" s="57" customFormat="1" ht="9.75" customHeight="1" x14ac:dyDescent="0.15">
      <c r="A39" s="488" t="s">
        <v>193</v>
      </c>
      <c r="B39" s="145">
        <v>0.2</v>
      </c>
      <c r="C39" s="126">
        <v>0</v>
      </c>
      <c r="D39" s="291"/>
      <c r="E39" s="624"/>
      <c r="F39" s="226">
        <v>0</v>
      </c>
      <c r="G39" s="492">
        <f>IF(IF(F30&gt;0,F30*((0*(IF(ISBLANK(E39),C39,E39)))+(IF(ISBLANK(D39),B39,D39))),0)&lt;0,0,IF(F30&gt;0,F30*((0*(IF(ISBLANK(E39),C39,E39)))+(IF(ISBLANK(D39),B39,D39))),0))/3</f>
        <v>0</v>
      </c>
      <c r="H39" s="492">
        <f>IF(IF(G30&gt;0,G30*((0*(IF(ISBLANK(E39),C39,E39)))+(IF(ISBLANK(D39),B39,D39))),0)&lt;0,0,IF(G30&gt;0,G30*((0*(IF(ISBLANK(E39),C39,E39)))+(IF(ISBLANK(D39),B39,D39))),0))/3</f>
        <v>0</v>
      </c>
      <c r="I39" s="492">
        <f>IF(IF(H30&gt;0,H30*((1*(IF(ISBLANK(E39),C39,E39)))+(IF(ISBLANK(D39),B39,D39))),0)&lt;0,0,IF(H30&gt;0,H30*((1*(IF(ISBLANK(E39),C39,E39)))+(IF(ISBLANK(D39),B39,D39))),0))/3</f>
        <v>320.96076032077411</v>
      </c>
      <c r="J39" s="217">
        <f t="shared" si="110"/>
        <v>962.88228096232228</v>
      </c>
      <c r="K39" s="492">
        <f>IF(IF(I30&gt;0,I30*((2*(IF(ISBLANK(E39),C39,E39)))+(IF(ISBLANK(D39),B39,D39))),0)&lt;0,0,IF(I30&gt;0,I30*((2*(IF(ISBLANK(E39),C39,E39)))+(IF(ISBLANK(D39),B39,D39))),0))/3</f>
        <v>1080.0449560495915</v>
      </c>
      <c r="L39" s="492">
        <f>IF(IF(K30&gt;0,K30*((3*(IF(ISBLANK(E39),C39,E39)))+(IF(ISBLANK(D39),B39,D39))),0)&lt;0,0,IF(K30&gt;0,K30*((3*(IF(ISBLANK(E39),C39,E39)))+(IF(ISBLANK(D39),B39,D39))),0))/3</f>
        <v>1751.763744695174</v>
      </c>
      <c r="M39" s="492">
        <f>IF(IF(L30&gt;0,L30*((4*(IF(ISBLANK(E39),C39,E39)))+(IF(ISBLANK(D39),B39,D39))),0)&lt;0,0,IF(L30&gt;0,L30*((4*(IF(ISBLANK(E39),C39,E39)))+(IF(ISBLANK(D39),B39,D39))),0))/3</f>
        <v>2563.7932217577827</v>
      </c>
      <c r="N39" s="492">
        <f>IF(IF(M30&gt;0,M30*((5*(IF(ISBLANK(E39),C39,E39)))+(IF(ISBLANK(D39),B39,D39))),0)&lt;0,0,IF(M30&gt;0,M30*((5*(IF(ISBLANK(E39),C39,E39)))+(IF(ISBLANK(D39),B39,D39))),0))/3</f>
        <v>3478.7990254715701</v>
      </c>
      <c r="O39" s="217">
        <f t="shared" si="111"/>
        <v>26623.202843922358</v>
      </c>
      <c r="P39" s="492">
        <f>IF(IF(N30&gt;0,N30*((6*(IF(ISBLANK(E39),C39,E39)))+(IF(ISBLANK(D39),B39,D39))),0)&lt;0,0,IF(N30&gt;0,N30*((6*(IF(ISBLANK(E39),C39,E39)))+(IF(ISBLANK(D39),B39,D39))),0))/3</f>
        <v>4506.7557145513711</v>
      </c>
      <c r="Q39" s="492">
        <f>IF(IF(P30&gt;0,P30*((7*(IF(ISBLANK(E39),C39,E39)))+(IF(ISBLANK(D39),B39,D39))),0)&lt;0,0,IF(P30&gt;0,P30*((7*(IF(ISBLANK(E39),C39,E39)))+(IF(ISBLANK(D39),B39,D39))),0))/3</f>
        <v>5659.518140481624</v>
      </c>
      <c r="R39" s="492">
        <f>IF(IF(Q30&gt;0,Q30*((8*(IF(ISBLANK(E39),C39,E39)))+(IF(ISBLANK(D39),B39,D39))),0)&lt;0,0,IF(Q30&gt;0,Q30*((8*(IF(ISBLANK(E39),C39,E39)))+(IF(ISBLANK(D39),B39,D39))),0))/3</f>
        <v>7006.4125656675997</v>
      </c>
      <c r="S39" s="492">
        <f>IF(IF(R30&gt;0,R30*((9*(IF(ISBLANK(E39),C39,E39)))+(IF(ISBLANK(D39),B39,D39))),0)&lt;0,0,IF(R30&gt;0,R30*((9*(IF(ISBLANK(E39),C39,E39)))+(IF(ISBLANK(D39),B39,D39))),0))/3</f>
        <v>8625.9072147585066</v>
      </c>
      <c r="T39" s="218">
        <f t="shared" si="112"/>
        <v>77395.780906377302</v>
      </c>
      <c r="U39" s="221"/>
      <c r="V39" s="239">
        <f>SUM((V30*(IF(ISBLANK(D39),B39,D39)+(10*IF(ISBLANK(E39),C39,E39))))+(S30*(IF(ISBLANK(D39),B39,D39)+(10*IF(ISBLANK(E39),C39,E39)))))</f>
        <v>328224.56233010354</v>
      </c>
      <c r="W39" s="217">
        <f>SUM((W30*(IF(ISBLANK(D39),B39,D39)+(11*IF(ISBLANK(E39),C39,E39)))))</f>
        <v>739001.96568074275</v>
      </c>
      <c r="X39" s="242">
        <f>SUM((X30*(IF(ISBLANK(D39),B39,D39)+(12*IF(ISBLANK(E39),C39,E39)))))</f>
        <v>1347170.8960279224</v>
      </c>
      <c r="Y39" s="221"/>
      <c r="Z39" s="578">
        <v>0</v>
      </c>
      <c r="AA39" s="617"/>
      <c r="AB39" s="532">
        <f>F39</f>
        <v>0</v>
      </c>
      <c r="AC39" s="492">
        <f>F39</f>
        <v>0</v>
      </c>
      <c r="AD39" s="492">
        <f>F39</f>
        <v>0</v>
      </c>
      <c r="AE39" s="492">
        <f t="shared" si="98"/>
        <v>0</v>
      </c>
      <c r="AF39" s="222"/>
      <c r="AG39" s="532">
        <f>G39</f>
        <v>0</v>
      </c>
      <c r="AH39" s="492">
        <f>G39</f>
        <v>0</v>
      </c>
      <c r="AI39" s="492">
        <f>G39</f>
        <v>0</v>
      </c>
      <c r="AJ39" s="492">
        <f t="shared" si="99"/>
        <v>0</v>
      </c>
      <c r="AK39" s="222"/>
      <c r="AL39" s="532">
        <f>H39</f>
        <v>0</v>
      </c>
      <c r="AM39" s="492">
        <f>H39</f>
        <v>0</v>
      </c>
      <c r="AN39" s="492">
        <f>H39</f>
        <v>0</v>
      </c>
      <c r="AO39" s="492">
        <f t="shared" si="100"/>
        <v>0</v>
      </c>
      <c r="AP39" s="222"/>
      <c r="AQ39" s="532">
        <f>I39</f>
        <v>320.96076032077411</v>
      </c>
      <c r="AR39" s="492">
        <f>I39</f>
        <v>320.96076032077411</v>
      </c>
      <c r="AS39" s="492">
        <f>I39</f>
        <v>320.96076032077411</v>
      </c>
      <c r="AT39" s="492">
        <f t="shared" si="101"/>
        <v>962.88228096232228</v>
      </c>
      <c r="AU39" s="222"/>
      <c r="AV39" s="617"/>
      <c r="AW39" s="532">
        <f>K39</f>
        <v>1080.0449560495915</v>
      </c>
      <c r="AX39" s="492">
        <f>K39</f>
        <v>1080.0449560495915</v>
      </c>
      <c r="AY39" s="492">
        <f>K39</f>
        <v>1080.0449560495915</v>
      </c>
      <c r="AZ39" s="492">
        <f t="shared" si="102"/>
        <v>3240.1348681487743</v>
      </c>
      <c r="BA39" s="222"/>
      <c r="BB39" s="532">
        <f>L39</f>
        <v>1751.763744695174</v>
      </c>
      <c r="BC39" s="492">
        <f>L39</f>
        <v>1751.763744695174</v>
      </c>
      <c r="BD39" s="492">
        <f>L39</f>
        <v>1751.763744695174</v>
      </c>
      <c r="BE39" s="492">
        <f t="shared" si="103"/>
        <v>5255.2912340855219</v>
      </c>
      <c r="BF39" s="222"/>
      <c r="BG39" s="532">
        <f>M39</f>
        <v>2563.7932217577827</v>
      </c>
      <c r="BH39" s="492">
        <f>M39</f>
        <v>2563.7932217577827</v>
      </c>
      <c r="BI39" s="492">
        <f>M39</f>
        <v>2563.7932217577827</v>
      </c>
      <c r="BJ39" s="492">
        <f t="shared" si="104"/>
        <v>7691.3796652733481</v>
      </c>
      <c r="BK39" s="222"/>
      <c r="BL39" s="532">
        <f>N39</f>
        <v>3478.7990254715701</v>
      </c>
      <c r="BM39" s="492">
        <f>N39</f>
        <v>3478.7990254715701</v>
      </c>
      <c r="BN39" s="492">
        <f>N39</f>
        <v>3478.7990254715701</v>
      </c>
      <c r="BO39" s="492">
        <f t="shared" si="105"/>
        <v>10436.397076414711</v>
      </c>
      <c r="BP39" s="222"/>
      <c r="BQ39" s="221"/>
      <c r="BR39" s="532">
        <f>P39</f>
        <v>4506.7557145513711</v>
      </c>
      <c r="BS39" s="492">
        <f>P39</f>
        <v>4506.7557145513711</v>
      </c>
      <c r="BT39" s="492">
        <f>P39</f>
        <v>4506.7557145513711</v>
      </c>
      <c r="BU39" s="492">
        <f t="shared" si="106"/>
        <v>13520.267143654113</v>
      </c>
      <c r="BV39" s="222"/>
      <c r="BW39" s="532">
        <f>Q39</f>
        <v>5659.518140481624</v>
      </c>
      <c r="BX39" s="492">
        <f>Q39</f>
        <v>5659.518140481624</v>
      </c>
      <c r="BY39" s="492">
        <f>Q39</f>
        <v>5659.518140481624</v>
      </c>
      <c r="BZ39" s="492">
        <f t="shared" si="107"/>
        <v>16978.554421444871</v>
      </c>
      <c r="CA39" s="222"/>
      <c r="CB39" s="532">
        <f>R39</f>
        <v>7006.4125656675997</v>
      </c>
      <c r="CC39" s="492">
        <f>R39</f>
        <v>7006.4125656675997</v>
      </c>
      <c r="CD39" s="492">
        <f>R39</f>
        <v>7006.4125656675997</v>
      </c>
      <c r="CE39" s="492">
        <f t="shared" si="108"/>
        <v>21019.237697002798</v>
      </c>
      <c r="CF39" s="222"/>
      <c r="CG39" s="532">
        <f>S39</f>
        <v>8625.9072147585066</v>
      </c>
      <c r="CH39" s="492">
        <f>S39</f>
        <v>8625.9072147585066</v>
      </c>
      <c r="CI39" s="492">
        <f>S39</f>
        <v>8625.9072147585066</v>
      </c>
      <c r="CJ39" s="492">
        <f t="shared" si="109"/>
        <v>25877.72164427552</v>
      </c>
      <c r="CK39" s="222"/>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row>
    <row r="40" spans="1:179" s="57" customFormat="1" ht="9.75" customHeight="1" x14ac:dyDescent="0.15">
      <c r="A40" s="488" t="s">
        <v>194</v>
      </c>
      <c r="B40" s="145">
        <v>0.25</v>
      </c>
      <c r="C40" s="126">
        <v>0</v>
      </c>
      <c r="D40" s="291"/>
      <c r="E40" s="624"/>
      <c r="F40" s="226">
        <v>0</v>
      </c>
      <c r="G40" s="492">
        <f>IF(IF(F49&gt;0,F49*((0*(IF(ISBLANK(E40),C40,E40)))+(IF(ISBLANK(D40),B40,D40))),0)&lt;0,0,IF(F49&gt;0,F49*((0*(IF(ISBLANK(E40),C40,E40)))+(IF(ISBLANK(D40),B40,D40))),0))/3</f>
        <v>0</v>
      </c>
      <c r="H40" s="492">
        <f>IF(IF(G49&gt;0,G49*((0*(IF(ISBLANK(E40),C40,E40)))+(IF(ISBLANK(D40),B40,D40))),0)&lt;0,0,IF(G49&gt;0,G49*((0*(IF(ISBLANK(E40),C40,E40)))+(IF(ISBLANK(D40),B40,D40))),0))/3</f>
        <v>0</v>
      </c>
      <c r="I40" s="492">
        <f>IF(IF(H49&gt;0,H49*((1*(IF(ISBLANK(E40),C40,E40)))+(IF(ISBLANK(D40),B40,D40))),0)&lt;0,0,IF(H49&gt;0,H49*((1*(IF(ISBLANK(E40),C40,E40)))+(IF(ISBLANK(D40),B40,D40))),0))/3</f>
        <v>0</v>
      </c>
      <c r="J40" s="217">
        <f t="shared" si="110"/>
        <v>0</v>
      </c>
      <c r="K40" s="492">
        <f>IF(IF(I49&gt;0,I49*((2*(IF(ISBLANK(E40),C40,E40)))+(IF(ISBLANK(D40),B40,D40))),0)&lt;0,0,IF(I49&gt;0,I49*((2*(IF(ISBLANK(E40),C40,E40)))+(IF(ISBLANK(D40),B40,D40))),0))/3</f>
        <v>0</v>
      </c>
      <c r="L40" s="492">
        <f>IF(IF(K49&gt;0,K49*((3*(IF(ISBLANK(E40),C40,E40)))+(IF(ISBLANK(D40),B40,D40))),0)&lt;0,0,IF(K49&gt;0,K49*((3*(IF(ISBLANK(E40),C40,E40)))+(IF(ISBLANK(D40),B40,D40))),0))/3</f>
        <v>0</v>
      </c>
      <c r="M40" s="492">
        <f>IF(IF(L49&gt;0,L49*((4*(IF(ISBLANK(E40),C40,E40)))+(IF(ISBLANK(D40),B40,D40))),0)&lt;0,0,IF(L49&gt;0,L49*((4*(IF(ISBLANK(E40),C40,E40)))+(IF(ISBLANK(D40),B40,D40))),0))/3</f>
        <v>0</v>
      </c>
      <c r="N40" s="492">
        <f>IF(IF(M49&gt;0,M49*((5*(IF(ISBLANK(E40),C40,E40)))+(IF(ISBLANK(D40),B40,D40))),0)&lt;0,0,IF(M49&gt;0,M49*((5*(IF(ISBLANK(E40),C40,E40)))+(IF(ISBLANK(D40),B40,D40))),0))/3</f>
        <v>0</v>
      </c>
      <c r="O40" s="217">
        <f t="shared" si="111"/>
        <v>0</v>
      </c>
      <c r="P40" s="492">
        <f>IF(IF(N49&gt;0,N49*((6*(IF(ISBLANK(E40),C40,E40)))+(IF(ISBLANK(D40),B40,D40))),0)&lt;0,0,IF(N49&gt;0,N49*((6*(IF(ISBLANK(E40),C40,E40)))+(IF(ISBLANK(D40),B40,D40))),0))/3</f>
        <v>0</v>
      </c>
      <c r="Q40" s="492">
        <f>IF(IF(P49&gt;0,P49*((7*(IF(ISBLANK(E40),C40,E40)))+(IF(ISBLANK(D40),B40,D40))),0)&lt;0,0,IF(P49&gt;0,P49*((7*(IF(ISBLANK(E40),C40,E40)))+(IF(ISBLANK(D40),B40,D40))),0))/3</f>
        <v>0</v>
      </c>
      <c r="R40" s="492">
        <f>IF(IF(Q49&gt;0,Q49*((8*(IF(ISBLANK(E40),C40,E40)))+(IF(ISBLANK(D40),B40,D40))),0)&lt;0,0,IF(Q49&gt;0,Q49*((8*(IF(ISBLANK(E40),C40,E40)))+(IF(ISBLANK(D40),B40,D40))),0))/3</f>
        <v>0</v>
      </c>
      <c r="S40" s="492">
        <f>IF(IF(R49&gt;0,R49*((9*(IF(ISBLANK(E40),C40,E40)))+(IF(ISBLANK(D40),B40,D40))),0)&lt;0,0,IF(R49&gt;0,R49*((9*(IF(ISBLANK(E40),C40,E40)))+(IF(ISBLANK(D40),B40,D40))),0))/3</f>
        <v>0</v>
      </c>
      <c r="T40" s="218">
        <f t="shared" si="112"/>
        <v>0</v>
      </c>
      <c r="U40" s="221"/>
      <c r="V40" s="239">
        <f>SUM(IF(S49&lt;0,0,S49*((10*(IF(ISBLANK(E40),C40,E40)))+(IF(ISBLANK(D40),B40,D40)))))</f>
        <v>0</v>
      </c>
      <c r="W40" s="217">
        <f>SUM(IF(V49&lt;0,0,V49*((11*(IF(ISBLANK(E40),C40,E40)))+(IF(ISBLANK(D40),B40,D40)))))</f>
        <v>92112.189329045708</v>
      </c>
      <c r="X40" s="242">
        <f>SUM(IF(W49&lt;0,0,W49*((12*(IF(ISBLANK(E40),C40,E40)))+(IF(ISBLANK(D40),B40,D40)))))</f>
        <v>347335.19323371921</v>
      </c>
      <c r="Y40" s="221"/>
      <c r="Z40" s="578">
        <v>0</v>
      </c>
      <c r="AA40" s="617"/>
      <c r="AB40" s="532">
        <f>F40</f>
        <v>0</v>
      </c>
      <c r="AC40" s="492">
        <f>F40</f>
        <v>0</v>
      </c>
      <c r="AD40" s="492">
        <f>F40</f>
        <v>0</v>
      </c>
      <c r="AE40" s="492">
        <f t="shared" si="98"/>
        <v>0</v>
      </c>
      <c r="AF40" s="222"/>
      <c r="AG40" s="532">
        <f>G40</f>
        <v>0</v>
      </c>
      <c r="AH40" s="492">
        <f>G40</f>
        <v>0</v>
      </c>
      <c r="AI40" s="492">
        <f>G40</f>
        <v>0</v>
      </c>
      <c r="AJ40" s="492">
        <f t="shared" si="99"/>
        <v>0</v>
      </c>
      <c r="AK40" s="222"/>
      <c r="AL40" s="532">
        <f>H40</f>
        <v>0</v>
      </c>
      <c r="AM40" s="492">
        <f>H40</f>
        <v>0</v>
      </c>
      <c r="AN40" s="492">
        <f>H40</f>
        <v>0</v>
      </c>
      <c r="AO40" s="492">
        <f t="shared" si="100"/>
        <v>0</v>
      </c>
      <c r="AP40" s="222"/>
      <c r="AQ40" s="532">
        <f>I40</f>
        <v>0</v>
      </c>
      <c r="AR40" s="492">
        <f>I40</f>
        <v>0</v>
      </c>
      <c r="AS40" s="492">
        <f>I40</f>
        <v>0</v>
      </c>
      <c r="AT40" s="492">
        <f t="shared" si="101"/>
        <v>0</v>
      </c>
      <c r="AU40" s="222"/>
      <c r="AV40" s="617"/>
      <c r="AW40" s="532">
        <f>K40</f>
        <v>0</v>
      </c>
      <c r="AX40" s="492">
        <f>K40</f>
        <v>0</v>
      </c>
      <c r="AY40" s="492">
        <f>K40</f>
        <v>0</v>
      </c>
      <c r="AZ40" s="492">
        <f t="shared" si="102"/>
        <v>0</v>
      </c>
      <c r="BA40" s="222"/>
      <c r="BB40" s="532">
        <f>L40</f>
        <v>0</v>
      </c>
      <c r="BC40" s="492">
        <f>L40</f>
        <v>0</v>
      </c>
      <c r="BD40" s="492">
        <f>L40</f>
        <v>0</v>
      </c>
      <c r="BE40" s="492">
        <f t="shared" si="103"/>
        <v>0</v>
      </c>
      <c r="BF40" s="222"/>
      <c r="BG40" s="532">
        <f>M40</f>
        <v>0</v>
      </c>
      <c r="BH40" s="492">
        <f>M40</f>
        <v>0</v>
      </c>
      <c r="BI40" s="492">
        <f>M40</f>
        <v>0</v>
      </c>
      <c r="BJ40" s="492">
        <f t="shared" si="104"/>
        <v>0</v>
      </c>
      <c r="BK40" s="222"/>
      <c r="BL40" s="532">
        <f>N40</f>
        <v>0</v>
      </c>
      <c r="BM40" s="492">
        <f>N40</f>
        <v>0</v>
      </c>
      <c r="BN40" s="492">
        <f>N40</f>
        <v>0</v>
      </c>
      <c r="BO40" s="492">
        <f t="shared" si="105"/>
        <v>0</v>
      </c>
      <c r="BP40" s="222"/>
      <c r="BQ40" s="221"/>
      <c r="BR40" s="532">
        <f>P40</f>
        <v>0</v>
      </c>
      <c r="BS40" s="492">
        <f>P40</f>
        <v>0</v>
      </c>
      <c r="BT40" s="492">
        <f>P40</f>
        <v>0</v>
      </c>
      <c r="BU40" s="492">
        <f t="shared" si="106"/>
        <v>0</v>
      </c>
      <c r="BV40" s="222"/>
      <c r="BW40" s="532">
        <f>Q40</f>
        <v>0</v>
      </c>
      <c r="BX40" s="492">
        <f>Q40</f>
        <v>0</v>
      </c>
      <c r="BY40" s="492">
        <f>Q40</f>
        <v>0</v>
      </c>
      <c r="BZ40" s="492">
        <f t="shared" si="107"/>
        <v>0</v>
      </c>
      <c r="CA40" s="222"/>
      <c r="CB40" s="532">
        <f>R40</f>
        <v>0</v>
      </c>
      <c r="CC40" s="492">
        <f>R40</f>
        <v>0</v>
      </c>
      <c r="CD40" s="492">
        <f>R40</f>
        <v>0</v>
      </c>
      <c r="CE40" s="492">
        <f t="shared" si="108"/>
        <v>0</v>
      </c>
      <c r="CF40" s="222"/>
      <c r="CG40" s="532">
        <f>S40</f>
        <v>0</v>
      </c>
      <c r="CH40" s="492">
        <f>S40</f>
        <v>0</v>
      </c>
      <c r="CI40" s="492">
        <f>S40</f>
        <v>0</v>
      </c>
      <c r="CJ40" s="492">
        <f t="shared" si="109"/>
        <v>0</v>
      </c>
      <c r="CK40" s="222"/>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row>
    <row r="41" spans="1:179" s="57" customFormat="1" ht="9.75" customHeight="1" x14ac:dyDescent="0.15">
      <c r="A41" s="488" t="s">
        <v>195</v>
      </c>
      <c r="B41" s="374">
        <v>1000</v>
      </c>
      <c r="C41" s="371">
        <v>0</v>
      </c>
      <c r="D41" s="228"/>
      <c r="E41" s="229"/>
      <c r="F41" s="491">
        <f>IF(ISBLANK(D41),B41,D41)</f>
        <v>1000</v>
      </c>
      <c r="G41" s="492">
        <f>SUM((IF(F49&gt;0,IF(ISBLANK(E41),C41,E41),0)+F41))</f>
        <v>1000</v>
      </c>
      <c r="H41" s="492">
        <f>SUM((IF(G49&gt;0,IF(ISBLANK(E41),C41,E41),0)+G41))</f>
        <v>1000</v>
      </c>
      <c r="I41" s="492">
        <f>SUM((IF(H49&gt;0,IF(ISBLANK(E41),C41,E41),0)+H41))</f>
        <v>1000</v>
      </c>
      <c r="J41" s="217">
        <f t="shared" si="110"/>
        <v>12000</v>
      </c>
      <c r="K41" s="492">
        <f>SUM((IF(I49&gt;0,IF(ISBLANK(E41),C41,E41),0)+I41))</f>
        <v>1000</v>
      </c>
      <c r="L41" s="492">
        <f>SUM((IF(K49&gt;0,IF(ISBLANK(E41),C41,E41),0)+K41))</f>
        <v>1000</v>
      </c>
      <c r="M41" s="492">
        <f>SUM((IF(L49&gt;0,IF(ISBLANK(E41),C41,E41),0)+L41))</f>
        <v>1000</v>
      </c>
      <c r="N41" s="492">
        <f>SUM((IF(M49&gt;0,IF(ISBLANK(E41),C41,E41),0)+M41))</f>
        <v>1000</v>
      </c>
      <c r="O41" s="217">
        <f t="shared" si="111"/>
        <v>12000</v>
      </c>
      <c r="P41" s="492">
        <f>SUM((IF(N49&gt;0,IF(ISBLANK(E41),C41,E41),0)+N41))</f>
        <v>1000</v>
      </c>
      <c r="Q41" s="492">
        <f>SUM((IF(P49&gt;0,IF(ISBLANK(E41),C41,E41),0)+P41))</f>
        <v>1000</v>
      </c>
      <c r="R41" s="492">
        <f>SUM((IF(Q49&gt;0,IF(ISBLANK(E41),C41,E41),0)+Q41))</f>
        <v>1000</v>
      </c>
      <c r="S41" s="492">
        <f>SUM((IF(R49&gt;0,IF(ISBLANK(E41),C41,E41),0)+R41))</f>
        <v>1000</v>
      </c>
      <c r="T41" s="218">
        <f t="shared" si="112"/>
        <v>12000</v>
      </c>
      <c r="U41" s="221"/>
      <c r="V41" s="239">
        <f>SUM((IF(S49&gt;0,IF(ISBLANK(E41),C41,E41),0)+S41))</f>
        <v>1000</v>
      </c>
      <c r="W41" s="217">
        <f>SUM((IF(V49&gt;0,IF(ISBLANK(E41),C41,E41),0)+V41))</f>
        <v>1000</v>
      </c>
      <c r="X41" s="242">
        <f>SUM((IF(W49&gt;0,IF(ISBLANK(E41),C41,E41),0)+W41))</f>
        <v>1000</v>
      </c>
      <c r="Y41" s="221"/>
      <c r="Z41" s="578">
        <v>55000</v>
      </c>
      <c r="AA41" s="617"/>
      <c r="AB41" s="532">
        <f t="shared" si="113"/>
        <v>1000</v>
      </c>
      <c r="AC41" s="492">
        <f t="shared" si="114"/>
        <v>1000</v>
      </c>
      <c r="AD41" s="492">
        <f t="shared" si="115"/>
        <v>1000</v>
      </c>
      <c r="AE41" s="492">
        <f t="shared" si="98"/>
        <v>3000</v>
      </c>
      <c r="AF41" s="222"/>
      <c r="AG41" s="532">
        <f t="shared" si="116"/>
        <v>1000</v>
      </c>
      <c r="AH41" s="492">
        <f>G41</f>
        <v>1000</v>
      </c>
      <c r="AI41" s="492">
        <f>G41</f>
        <v>1000</v>
      </c>
      <c r="AJ41" s="492">
        <f t="shared" si="99"/>
        <v>3000</v>
      </c>
      <c r="AK41" s="222"/>
      <c r="AL41" s="532">
        <f>H41</f>
        <v>1000</v>
      </c>
      <c r="AM41" s="492">
        <f>H41</f>
        <v>1000</v>
      </c>
      <c r="AN41" s="492">
        <f>H41</f>
        <v>1000</v>
      </c>
      <c r="AO41" s="492">
        <f t="shared" si="100"/>
        <v>3000</v>
      </c>
      <c r="AP41" s="222"/>
      <c r="AQ41" s="532">
        <f t="shared" si="122"/>
        <v>1000</v>
      </c>
      <c r="AR41" s="492">
        <f t="shared" si="123"/>
        <v>1000</v>
      </c>
      <c r="AS41" s="492">
        <f t="shared" si="124"/>
        <v>1000</v>
      </c>
      <c r="AT41" s="492">
        <f t="shared" si="101"/>
        <v>3000</v>
      </c>
      <c r="AU41" s="222"/>
      <c r="AV41" s="617"/>
      <c r="AW41" s="532">
        <f t="shared" si="125"/>
        <v>1000</v>
      </c>
      <c r="AX41" s="492">
        <f t="shared" si="126"/>
        <v>1000</v>
      </c>
      <c r="AY41" s="492">
        <f t="shared" si="127"/>
        <v>1000</v>
      </c>
      <c r="AZ41" s="492">
        <f t="shared" si="102"/>
        <v>3000</v>
      </c>
      <c r="BA41" s="222"/>
      <c r="BB41" s="532">
        <f t="shared" si="128"/>
        <v>1000</v>
      </c>
      <c r="BC41" s="492">
        <f t="shared" si="129"/>
        <v>1000</v>
      </c>
      <c r="BD41" s="492">
        <f t="shared" si="130"/>
        <v>1000</v>
      </c>
      <c r="BE41" s="492">
        <f t="shared" si="103"/>
        <v>3000</v>
      </c>
      <c r="BF41" s="222"/>
      <c r="BG41" s="532">
        <f t="shared" si="131"/>
        <v>1000</v>
      </c>
      <c r="BH41" s="492">
        <f t="shared" si="132"/>
        <v>1000</v>
      </c>
      <c r="BI41" s="492">
        <f t="shared" si="133"/>
        <v>1000</v>
      </c>
      <c r="BJ41" s="492">
        <f t="shared" si="104"/>
        <v>3000</v>
      </c>
      <c r="BK41" s="222"/>
      <c r="BL41" s="532">
        <f>N41</f>
        <v>1000</v>
      </c>
      <c r="BM41" s="492">
        <f t="shared" si="135"/>
        <v>1000</v>
      </c>
      <c r="BN41" s="492">
        <f t="shared" si="136"/>
        <v>1000</v>
      </c>
      <c r="BO41" s="492">
        <f t="shared" si="105"/>
        <v>3000</v>
      </c>
      <c r="BP41" s="222"/>
      <c r="BQ41" s="221"/>
      <c r="BR41" s="532">
        <f t="shared" si="137"/>
        <v>1000</v>
      </c>
      <c r="BS41" s="492">
        <f t="shared" si="138"/>
        <v>1000</v>
      </c>
      <c r="BT41" s="492">
        <f t="shared" si="139"/>
        <v>1000</v>
      </c>
      <c r="BU41" s="492">
        <f t="shared" si="106"/>
        <v>3000</v>
      </c>
      <c r="BV41" s="222"/>
      <c r="BW41" s="532">
        <f t="shared" si="140"/>
        <v>1000</v>
      </c>
      <c r="BX41" s="492">
        <f t="shared" si="141"/>
        <v>1000</v>
      </c>
      <c r="BY41" s="492">
        <f t="shared" si="142"/>
        <v>1000</v>
      </c>
      <c r="BZ41" s="492">
        <f t="shared" si="107"/>
        <v>3000</v>
      </c>
      <c r="CA41" s="222"/>
      <c r="CB41" s="532">
        <f t="shared" si="143"/>
        <v>1000</v>
      </c>
      <c r="CC41" s="492">
        <f t="shared" si="144"/>
        <v>1000</v>
      </c>
      <c r="CD41" s="492">
        <f t="shared" si="145"/>
        <v>1000</v>
      </c>
      <c r="CE41" s="492">
        <f t="shared" si="108"/>
        <v>3000</v>
      </c>
      <c r="CF41" s="222"/>
      <c r="CG41" s="532">
        <f t="shared" si="146"/>
        <v>1000</v>
      </c>
      <c r="CH41" s="492">
        <f t="shared" si="147"/>
        <v>1000</v>
      </c>
      <c r="CI41" s="492">
        <f t="shared" si="148"/>
        <v>1000</v>
      </c>
      <c r="CJ41" s="492">
        <f t="shared" si="109"/>
        <v>3000</v>
      </c>
      <c r="CK41" s="222"/>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row>
    <row r="42" spans="1:179" s="57" customFormat="1" ht="9.75" customHeight="1" x14ac:dyDescent="0.15">
      <c r="A42" s="488" t="s">
        <v>196</v>
      </c>
      <c r="B42" s="374">
        <v>1000</v>
      </c>
      <c r="C42" s="214">
        <v>0.01</v>
      </c>
      <c r="D42" s="228"/>
      <c r="E42" s="225"/>
      <c r="F42" s="491">
        <f>SUM((IF(ISBLANK(D42),B42,D42))+(IF(ISBLANK(E42),C42,E42)*F18))</f>
        <v>1021.1349557293369</v>
      </c>
      <c r="G42" s="492">
        <f>SUM((IF(ISBLANK(D42),B42,D42))+(IF(ISBLANK(E42),C42,E42)*G18))</f>
        <v>1049.9745848376224</v>
      </c>
      <c r="H42" s="492">
        <f>SUM((IF(ISBLANK(D42),B42,D42))+(IF(ISBLANK(E42),C42,E42)*H18))</f>
        <v>1093.4203556945017</v>
      </c>
      <c r="I42" s="492">
        <f>SUM((IF(ISBLANK(D42),B42,D42))+(IF(ISBLANK(E42),C42,E42)*I18))</f>
        <v>1124.1484370302742</v>
      </c>
      <c r="J42" s="217">
        <f t="shared" si="110"/>
        <v>12866.034999875206</v>
      </c>
      <c r="K42" s="492">
        <f>SUM((IF(ISBLANK(D42),B42,D42))+(IF(ISBLANK(E42),C42,E42)*K18))</f>
        <v>1158.9795166799654</v>
      </c>
      <c r="L42" s="492">
        <f>SUM((IF(ISBLANK(D42),B42,D42))+(IF(ISBLANK(E42),C42,E42)*L18))</f>
        <v>1189.8313289409386</v>
      </c>
      <c r="M42" s="492">
        <f>SUM((IF(ISBLANK(D42),B42,D42))+(IF(ISBLANK(E42),C42,E42)*M18))</f>
        <v>1218.0282528213997</v>
      </c>
      <c r="N42" s="492">
        <f>SUM((IF(ISBLANK(D42),B42,D42))+(IF(ISBLANK(E42),C42,E42)*N18))</f>
        <v>1245.3978513305046</v>
      </c>
      <c r="O42" s="217">
        <f t="shared" si="111"/>
        <v>14436.710849318426</v>
      </c>
      <c r="P42" s="492">
        <f>SUM((IF(ISBLANK(D42),B42,D42))+(IF(ISBLANK(E42),C42,E42)*P18))</f>
        <v>1272.600648066523</v>
      </c>
      <c r="Q42" s="492">
        <f>SUM((IF(ISBLANK(D42),B42,D42))+(IF(ISBLANK(E42),C42,E42)*Q18))</f>
        <v>1303.7202812842743</v>
      </c>
      <c r="R42" s="492">
        <f>SUM((IF(ISBLANK(D42),B42,D42))+(IF(ISBLANK(E42),C42,E42)*R18))</f>
        <v>1340.2294442998871</v>
      </c>
      <c r="S42" s="492">
        <f>SUM((IF(ISBLANK(D42),B42,D42))+(IF(ISBLANK(E42),C42,E42)*S18))</f>
        <v>1384.0484554064087</v>
      </c>
      <c r="T42" s="218">
        <f t="shared" si="112"/>
        <v>15901.796487171279</v>
      </c>
      <c r="U42" s="221"/>
      <c r="V42" s="239">
        <f>SUM((IF(ISBLANK(D42),B42,D42))+(IF(ISBLANK(E42),C42,E42)*V18))*12</f>
        <v>25140.654212475802</v>
      </c>
      <c r="W42" s="217">
        <f>SUM((IF(ISBLANK(D42),B42,D42))+(IF(ISBLANK(E42),C42,E42)*W18))*12</f>
        <v>37550.548179186124</v>
      </c>
      <c r="X42" s="242">
        <f>SUM((IF(ISBLANK(D42),B42,D42))+(IF(ISBLANK(E42),C42,E42)*X18))*12</f>
        <v>49108.563263973061</v>
      </c>
      <c r="Y42" s="221"/>
      <c r="Z42" s="578">
        <f>SUM(10105+7000)</f>
        <v>17105</v>
      </c>
      <c r="AA42" s="617"/>
      <c r="AB42" s="532">
        <f t="shared" si="113"/>
        <v>1021.1349557293369</v>
      </c>
      <c r="AC42" s="492">
        <f t="shared" si="114"/>
        <v>1021.1349557293369</v>
      </c>
      <c r="AD42" s="492">
        <f t="shared" si="115"/>
        <v>1021.1349557293369</v>
      </c>
      <c r="AE42" s="492">
        <f t="shared" si="98"/>
        <v>3063.4048671880105</v>
      </c>
      <c r="AF42" s="222"/>
      <c r="AG42" s="532">
        <f t="shared" si="116"/>
        <v>1049.9745848376224</v>
      </c>
      <c r="AH42" s="492">
        <f t="shared" si="117"/>
        <v>1049.9745848376224</v>
      </c>
      <c r="AI42" s="492">
        <f t="shared" si="118"/>
        <v>1049.9745848376224</v>
      </c>
      <c r="AJ42" s="492">
        <f t="shared" si="99"/>
        <v>3149.9237545128672</v>
      </c>
      <c r="AK42" s="222"/>
      <c r="AL42" s="532">
        <f t="shared" si="119"/>
        <v>1093.4203556945017</v>
      </c>
      <c r="AM42" s="492">
        <f t="shared" si="120"/>
        <v>1093.4203556945017</v>
      </c>
      <c r="AN42" s="492">
        <f t="shared" si="121"/>
        <v>1093.4203556945017</v>
      </c>
      <c r="AO42" s="492">
        <f t="shared" si="100"/>
        <v>3280.2610670835052</v>
      </c>
      <c r="AP42" s="222"/>
      <c r="AQ42" s="532">
        <f t="shared" si="122"/>
        <v>1124.1484370302742</v>
      </c>
      <c r="AR42" s="492">
        <f t="shared" si="123"/>
        <v>1124.1484370302742</v>
      </c>
      <c r="AS42" s="492">
        <f t="shared" si="124"/>
        <v>1124.1484370302742</v>
      </c>
      <c r="AT42" s="492">
        <f t="shared" si="101"/>
        <v>3372.4453110908225</v>
      </c>
      <c r="AU42" s="222"/>
      <c r="AV42" s="617"/>
      <c r="AW42" s="532">
        <f t="shared" si="125"/>
        <v>1158.9795166799654</v>
      </c>
      <c r="AX42" s="492">
        <f t="shared" si="126"/>
        <v>1158.9795166799654</v>
      </c>
      <c r="AY42" s="492">
        <f t="shared" si="127"/>
        <v>1158.9795166799654</v>
      </c>
      <c r="AZ42" s="492">
        <f t="shared" si="102"/>
        <v>3476.9385500398962</v>
      </c>
      <c r="BA42" s="222"/>
      <c r="BB42" s="532">
        <f t="shared" si="128"/>
        <v>1189.8313289409386</v>
      </c>
      <c r="BC42" s="492">
        <f t="shared" si="129"/>
        <v>1189.8313289409386</v>
      </c>
      <c r="BD42" s="492">
        <f t="shared" si="130"/>
        <v>1189.8313289409386</v>
      </c>
      <c r="BE42" s="492">
        <f t="shared" si="103"/>
        <v>3569.4939868228157</v>
      </c>
      <c r="BF42" s="222"/>
      <c r="BG42" s="532">
        <f t="shared" si="131"/>
        <v>1218.0282528213997</v>
      </c>
      <c r="BH42" s="492">
        <f t="shared" si="132"/>
        <v>1218.0282528213997</v>
      </c>
      <c r="BI42" s="492">
        <f t="shared" si="133"/>
        <v>1218.0282528213997</v>
      </c>
      <c r="BJ42" s="492">
        <f t="shared" si="104"/>
        <v>3654.0847584641992</v>
      </c>
      <c r="BK42" s="222"/>
      <c r="BL42" s="532">
        <f t="shared" si="134"/>
        <v>1245.3978513305046</v>
      </c>
      <c r="BM42" s="492">
        <f t="shared" si="135"/>
        <v>1245.3978513305046</v>
      </c>
      <c r="BN42" s="492">
        <f t="shared" si="136"/>
        <v>1245.3978513305046</v>
      </c>
      <c r="BO42" s="492">
        <f t="shared" si="105"/>
        <v>3736.1935539915139</v>
      </c>
      <c r="BP42" s="222"/>
      <c r="BQ42" s="221"/>
      <c r="BR42" s="532">
        <f t="shared" si="137"/>
        <v>1272.600648066523</v>
      </c>
      <c r="BS42" s="492">
        <f t="shared" si="138"/>
        <v>1272.600648066523</v>
      </c>
      <c r="BT42" s="492">
        <f t="shared" si="139"/>
        <v>1272.600648066523</v>
      </c>
      <c r="BU42" s="492">
        <f t="shared" si="106"/>
        <v>3817.8019441995693</v>
      </c>
      <c r="BV42" s="222"/>
      <c r="BW42" s="532">
        <f t="shared" si="140"/>
        <v>1303.7202812842743</v>
      </c>
      <c r="BX42" s="492">
        <f t="shared" si="141"/>
        <v>1303.7202812842743</v>
      </c>
      <c r="BY42" s="492">
        <f t="shared" si="142"/>
        <v>1303.7202812842743</v>
      </c>
      <c r="BZ42" s="492">
        <f t="shared" si="107"/>
        <v>3911.1608438528228</v>
      </c>
      <c r="CA42" s="222"/>
      <c r="CB42" s="532">
        <f t="shared" si="143"/>
        <v>1340.2294442998871</v>
      </c>
      <c r="CC42" s="492">
        <f t="shared" si="144"/>
        <v>1340.2294442998871</v>
      </c>
      <c r="CD42" s="492">
        <f t="shared" si="145"/>
        <v>1340.2294442998871</v>
      </c>
      <c r="CE42" s="492">
        <f t="shared" si="108"/>
        <v>4020.688332899661</v>
      </c>
      <c r="CF42" s="222"/>
      <c r="CG42" s="532">
        <f t="shared" si="146"/>
        <v>1384.0484554064087</v>
      </c>
      <c r="CH42" s="492">
        <f t="shared" si="147"/>
        <v>1384.0484554064087</v>
      </c>
      <c r="CI42" s="492">
        <f t="shared" si="148"/>
        <v>1384.0484554064087</v>
      </c>
      <c r="CJ42" s="492">
        <f t="shared" si="109"/>
        <v>4152.1453662192262</v>
      </c>
      <c r="CK42" s="222"/>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row>
    <row r="43" spans="1:179" s="57" customFormat="1" ht="9.75" customHeight="1" x14ac:dyDescent="0.15">
      <c r="A43" s="488" t="s">
        <v>197</v>
      </c>
      <c r="B43" s="167">
        <v>0</v>
      </c>
      <c r="C43" s="285">
        <v>0</v>
      </c>
      <c r="D43" s="291"/>
      <c r="E43" s="624"/>
      <c r="F43" s="226">
        <v>10000</v>
      </c>
      <c r="G43" s="227">
        <v>10000</v>
      </c>
      <c r="H43" s="648">
        <v>2000</v>
      </c>
      <c r="I43" s="649">
        <f>SUM(IF(ISBLANK(D43),      (IF((1*(IF(ISBLANK(E43),C43,E43)) + B43) &lt; 0,     0,     (1*(IF(ISBLANK(E43),C43,E43)) + B43)   )),       (IF((1*(IF(ISBLANK(E43),C43,E43)) + D43) &lt; 0,     0,     (1*(IF(ISBLANK(E43),C43,E43)) + D43)   ))  )       *   (I30/3)+(H43))</f>
        <v>2000</v>
      </c>
      <c r="J43" s="217">
        <f t="shared" si="110"/>
        <v>72000</v>
      </c>
      <c r="K43" s="648">
        <f>SUM(IF(ISBLANK(D43),      (IF((2*(IF(ISBLANK(E43),C43,E43)) + B43) &lt; 0,     0,     (2*(IF(ISBLANK(E43),C43,E43)) + B43)   )),       (IF((2*(IF(ISBLANK(E43),C43,E43)) + D43) &lt; 0,     0,     (2*(IF(ISBLANK(E43),C43,E43)) + D43)   ))  )       *   (K30/3)+(I43))</f>
        <v>2000</v>
      </c>
      <c r="L43" s="648">
        <f>SUM(IF(ISBLANK(D43),      (IF((3*(IF(ISBLANK(E43),C43,E43)) + B43) &lt; 0,     0,     (3*(IF(ISBLANK(E43),C43,E43)) + B43)   )),       (IF((3*(IF(ISBLANK(E43),C43,E43)) + D43) &lt; 0,     0,     (3*(IF(ISBLANK(E43),C43,E43)) + D43)   ))  )       *   (L30/3)+(K43))</f>
        <v>2000</v>
      </c>
      <c r="M43" s="648">
        <f>SUM(IF(ISBLANK(D43),      (IF((4*(IF(ISBLANK(E43),C43,E43)) + B43) &lt; 0,     0,     (4*(IF(ISBLANK(E43),C43,E43)) + B43)   )),       (IF((4*(IF(ISBLANK(E43),C43,E43)) + D43) &lt; 0,     0,     (4*(IF(ISBLANK(E43),C43,E43)) + D43)   ))  )       *   (M30/3)+(L43))</f>
        <v>2000</v>
      </c>
      <c r="N43" s="648">
        <f>SUM(IF(ISBLANK(D43),      (IF((5*(IF(ISBLANK(E43),C43,E43)) + B43) &lt; 0,     0,     (5*(IF(ISBLANK(E43),C43,E43)) + B43)   )),       (IF((5*(IF(ISBLANK(E43),C43,E43)) + D43) &lt; 0,     0,     (5*(IF(ISBLANK(E43),C43,E43)) + D43)   ))  )       *   (N30/3)+(M43))</f>
        <v>2000</v>
      </c>
      <c r="O43" s="217">
        <f t="shared" si="111"/>
        <v>24000</v>
      </c>
      <c r="P43" s="648">
        <f>SUM(IF(ISBLANK(D43),      (IF((6*(IF(ISBLANK(E43),C43,E43)) + B43) &lt; 0,     0,     (6*(IF(ISBLANK(E43),C43,E43)) + B43)   )),       (IF((6*(IF(ISBLANK(E43),C43,E43)) + D43) &lt; 0,     0,     (6*(IF(ISBLANK(E43),C43,E43)) + D43)   ))  )       *   (P30/3)+(N43))</f>
        <v>2000</v>
      </c>
      <c r="Q43" s="648">
        <f>SUM(IF(ISBLANK(D43),      (IF((7*(IF(ISBLANK(E43),C43,E43)) + B43) &lt; 0,     0,     (7*(IF(ISBLANK(E43),C43,E43)) + B43)   )),       (IF((7*(IF(ISBLANK(E43),C43,E43)) + D43) &lt; 0,     0,     (7*(IF(ISBLANK(E43),C43,E43)) + D43)   ))  )       *   (Q30/3)+(P43))</f>
        <v>2000</v>
      </c>
      <c r="R43" s="648">
        <f>SUM(IF(ISBLANK(D43),      (IF((8*(IF(ISBLANK(E43),C43,E43)) + B43) &lt; 0,     0,     (8*(IF(ISBLANK(E43),C43,E43)) + B43)   )),       (IF((8*(IF(ISBLANK(E43),C43,E43)) + D43) &lt; 0,     0,     (8*(IF(ISBLANK(E43),C43,E43)) + D43)   ))  )       *   (R30/3)+(Q43))</f>
        <v>2000</v>
      </c>
      <c r="S43" s="648">
        <f>SUM(IF(ISBLANK(D43),      (IF((9*(IF(ISBLANK(E43),C43,E43)) + B43) &lt; 0,     0,     (9*(IF(ISBLANK(E43),C43,E43)) + B43)   )),       (IF((9*(IF(ISBLANK(E43),C43,E43)) + D43) &lt; 0,     0,     (9*(IF(ISBLANK(E43),C43,E43)) + D43)   ))  )       *   (S30/3)+(R43))</f>
        <v>2000</v>
      </c>
      <c r="T43" s="218">
        <f t="shared" si="112"/>
        <v>24000</v>
      </c>
      <c r="U43" s="221"/>
      <c r="V43" s="239">
        <f>SUM(IF(ISBLANK(D43),      (IF((10*(IF(ISBLANK(E43),C43,E43)) + B43) &lt; 0,     0,     (10*(IF(ISBLANK(E43),C43,E43)) + B43)   )),       (IF((10*(IF(ISBLANK(E43),C43,E43)) + D43) &lt; 0,     0,     (10*(IF(ISBLANK(E43),C43,E43)) + D43)   ))  )       *   (V30)+(S43))*12</f>
        <v>24000</v>
      </c>
      <c r="W43" s="217">
        <f>SUM(IF(ISBLANK(D43),      (IF((11*(IF(ISBLANK(E43),C43,E43)) + B43) &lt; 0,     0,     (11*(IF(ISBLANK(E43),C43,E43)) + B43)   )),       (IF((11*(IF(ISBLANK(E43),C43,E43)) + D43) &lt; 0,     0,     (11*(IF(ISBLANK(E43),C43,E43)) + D43)   ))  )       *   (W30)+(V43))</f>
        <v>24000</v>
      </c>
      <c r="X43" s="242">
        <f>SUM(IF(ISBLANK(D43),      (IF((12*(IF(ISBLANK(E43),C43,E43)) + B43) &lt; 0,     0,     (12*(IF(ISBLANK(E43),C43,E43)) + B43)   )),       (IF((12*(IF(ISBLANK(E43),C43,E43)) + D43) &lt; 0,     0,     (12*(IF(ISBLANK(E43),C43,E43)) + D43)   ))  )       *   (X30)+(W43))</f>
        <v>24000</v>
      </c>
      <c r="Y43" s="221"/>
      <c r="Z43" s="578">
        <f>SUM(1150+61191+16520+16425+10520+4487)</f>
        <v>110293</v>
      </c>
      <c r="AA43" s="617"/>
      <c r="AB43" s="532">
        <f t="shared" si="113"/>
        <v>10000</v>
      </c>
      <c r="AC43" s="492">
        <f t="shared" si="114"/>
        <v>10000</v>
      </c>
      <c r="AD43" s="492">
        <f t="shared" si="115"/>
        <v>10000</v>
      </c>
      <c r="AE43" s="492">
        <f t="shared" si="98"/>
        <v>30000</v>
      </c>
      <c r="AF43" s="222"/>
      <c r="AG43" s="532">
        <f t="shared" si="116"/>
        <v>10000</v>
      </c>
      <c r="AH43" s="492">
        <f t="shared" si="117"/>
        <v>10000</v>
      </c>
      <c r="AI43" s="492">
        <f t="shared" si="118"/>
        <v>10000</v>
      </c>
      <c r="AJ43" s="492">
        <f t="shared" si="99"/>
        <v>30000</v>
      </c>
      <c r="AK43" s="222"/>
      <c r="AL43" s="532">
        <f t="shared" si="119"/>
        <v>2000</v>
      </c>
      <c r="AM43" s="492">
        <f t="shared" si="120"/>
        <v>2000</v>
      </c>
      <c r="AN43" s="492">
        <f t="shared" si="121"/>
        <v>2000</v>
      </c>
      <c r="AO43" s="492">
        <f t="shared" si="100"/>
        <v>6000</v>
      </c>
      <c r="AP43" s="222"/>
      <c r="AQ43" s="532">
        <f t="shared" si="122"/>
        <v>2000</v>
      </c>
      <c r="AR43" s="492">
        <f t="shared" si="123"/>
        <v>2000</v>
      </c>
      <c r="AS43" s="492">
        <f t="shared" si="124"/>
        <v>2000</v>
      </c>
      <c r="AT43" s="492">
        <f t="shared" si="101"/>
        <v>6000</v>
      </c>
      <c r="AU43" s="222"/>
      <c r="AV43" s="617"/>
      <c r="AW43" s="532">
        <f t="shared" si="125"/>
        <v>2000</v>
      </c>
      <c r="AX43" s="492">
        <f t="shared" si="126"/>
        <v>2000</v>
      </c>
      <c r="AY43" s="492">
        <f t="shared" si="127"/>
        <v>2000</v>
      </c>
      <c r="AZ43" s="492">
        <f t="shared" si="102"/>
        <v>6000</v>
      </c>
      <c r="BA43" s="222"/>
      <c r="BB43" s="532">
        <f t="shared" si="128"/>
        <v>2000</v>
      </c>
      <c r="BC43" s="492">
        <f t="shared" si="129"/>
        <v>2000</v>
      </c>
      <c r="BD43" s="492">
        <f t="shared" si="130"/>
        <v>2000</v>
      </c>
      <c r="BE43" s="492">
        <f t="shared" si="103"/>
        <v>6000</v>
      </c>
      <c r="BF43" s="222"/>
      <c r="BG43" s="532">
        <f t="shared" si="131"/>
        <v>2000</v>
      </c>
      <c r="BH43" s="492">
        <f t="shared" si="132"/>
        <v>2000</v>
      </c>
      <c r="BI43" s="492">
        <f t="shared" si="133"/>
        <v>2000</v>
      </c>
      <c r="BJ43" s="492">
        <f t="shared" si="104"/>
        <v>6000</v>
      </c>
      <c r="BK43" s="222"/>
      <c r="BL43" s="532">
        <f t="shared" si="134"/>
        <v>2000</v>
      </c>
      <c r="BM43" s="492">
        <f t="shared" si="135"/>
        <v>2000</v>
      </c>
      <c r="BN43" s="492">
        <f t="shared" si="136"/>
        <v>2000</v>
      </c>
      <c r="BO43" s="492">
        <f t="shared" si="105"/>
        <v>6000</v>
      </c>
      <c r="BP43" s="222"/>
      <c r="BQ43" s="221"/>
      <c r="BR43" s="532">
        <f t="shared" si="137"/>
        <v>2000</v>
      </c>
      <c r="BS43" s="492">
        <f t="shared" si="138"/>
        <v>2000</v>
      </c>
      <c r="BT43" s="492">
        <f t="shared" si="139"/>
        <v>2000</v>
      </c>
      <c r="BU43" s="492">
        <f t="shared" si="106"/>
        <v>6000</v>
      </c>
      <c r="BV43" s="222"/>
      <c r="BW43" s="532">
        <f t="shared" si="140"/>
        <v>2000</v>
      </c>
      <c r="BX43" s="492">
        <f t="shared" si="141"/>
        <v>2000</v>
      </c>
      <c r="BY43" s="492">
        <f t="shared" si="142"/>
        <v>2000</v>
      </c>
      <c r="BZ43" s="492">
        <f t="shared" si="107"/>
        <v>6000</v>
      </c>
      <c r="CA43" s="222"/>
      <c r="CB43" s="532">
        <f t="shared" si="143"/>
        <v>2000</v>
      </c>
      <c r="CC43" s="492">
        <f t="shared" si="144"/>
        <v>2000</v>
      </c>
      <c r="CD43" s="492">
        <f t="shared" si="145"/>
        <v>2000</v>
      </c>
      <c r="CE43" s="492">
        <f t="shared" si="108"/>
        <v>6000</v>
      </c>
      <c r="CF43" s="222"/>
      <c r="CG43" s="532">
        <f t="shared" si="146"/>
        <v>2000</v>
      </c>
      <c r="CH43" s="492">
        <f t="shared" si="147"/>
        <v>2000</v>
      </c>
      <c r="CI43" s="492">
        <f t="shared" si="148"/>
        <v>2000</v>
      </c>
      <c r="CJ43" s="492">
        <f t="shared" si="109"/>
        <v>6000</v>
      </c>
      <c r="CK43" s="222"/>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row>
    <row r="44" spans="1:179" s="57" customFormat="1" ht="9.75" customHeight="1" x14ac:dyDescent="0.15">
      <c r="A44" s="468" t="s">
        <v>198</v>
      </c>
      <c r="B44" s="300">
        <v>6</v>
      </c>
      <c r="C44" s="299">
        <v>0</v>
      </c>
      <c r="D44" s="632"/>
      <c r="E44" s="633"/>
      <c r="F44" s="215">
        <v>6</v>
      </c>
      <c r="G44" s="216">
        <v>5</v>
      </c>
      <c r="H44" s="493">
        <f>SUM((IF(ISBLANK(D44),B44,D44)))</f>
        <v>6</v>
      </c>
      <c r="I44" s="493">
        <f>SUM(H44+(IF(ISBLANK(E44),C44,E44)))</f>
        <v>6</v>
      </c>
      <c r="J44" s="219">
        <f>SUM((F44+G44+H44+I44)/4)</f>
        <v>5.75</v>
      </c>
      <c r="K44" s="493">
        <f>SUM(I44+(IF(ISBLANK(E44),C44,E44)))</f>
        <v>6</v>
      </c>
      <c r="L44" s="493">
        <f>SUM(K44+(IF(ISBLANK(E44),C44,E44)))</f>
        <v>6</v>
      </c>
      <c r="M44" s="493">
        <f>SUM(L44+(IF(ISBLANK(E44),C44,E44)))</f>
        <v>6</v>
      </c>
      <c r="N44" s="493">
        <f>SUM(M44+(IF(ISBLANK(E44),C44,E44)))</f>
        <v>6</v>
      </c>
      <c r="O44" s="219">
        <f>SUM(K44+L44+M44+N44)/4</f>
        <v>6</v>
      </c>
      <c r="P44" s="493">
        <f>SUM(N44+(IF(ISBLANK(E44),C44,E44)))</f>
        <v>6</v>
      </c>
      <c r="Q44" s="493">
        <f>SUM(P44+(IF(ISBLANK(E44),C44,E44)))</f>
        <v>6</v>
      </c>
      <c r="R44" s="493">
        <f>SUM(Q44+(IF(ISBLANK(E44),C44,E44)))</f>
        <v>6</v>
      </c>
      <c r="S44" s="493">
        <f>SUM(R44+(IF(ISBLANK(E44),C44,E44)))</f>
        <v>6</v>
      </c>
      <c r="T44" s="214">
        <f>SUM(P44+Q44+R44+S44)/4</f>
        <v>6</v>
      </c>
      <c r="U44" s="247"/>
      <c r="V44" s="213">
        <f>SUM(S44+(IF(ISBLANK(E44),C44,E44)))</f>
        <v>6</v>
      </c>
      <c r="W44" s="219">
        <f>SUM(V44+(IF(ISBLANK(E44),C44,E44)))</f>
        <v>6</v>
      </c>
      <c r="X44" s="220">
        <f>SUM(W44+(IF(ISBLANK(E44),C44,E44)))</f>
        <v>6</v>
      </c>
      <c r="Y44" s="247"/>
      <c r="Z44" s="581">
        <v>1.2</v>
      </c>
      <c r="AA44" s="619"/>
      <c r="AB44" s="495">
        <f>F44</f>
        <v>6</v>
      </c>
      <c r="AC44" s="493">
        <f>F44</f>
        <v>6</v>
      </c>
      <c r="AD44" s="493">
        <f>F44</f>
        <v>6</v>
      </c>
      <c r="AE44" s="493">
        <f>SUM((AB44+AC44+AD44)/3)</f>
        <v>6</v>
      </c>
      <c r="AF44" s="248"/>
      <c r="AG44" s="495">
        <f>G44</f>
        <v>5</v>
      </c>
      <c r="AH44" s="493">
        <f>G44</f>
        <v>5</v>
      </c>
      <c r="AI44" s="493">
        <f>G44</f>
        <v>5</v>
      </c>
      <c r="AJ44" s="493">
        <f>SUM((AG44+AH44+AI44)/3)</f>
        <v>5</v>
      </c>
      <c r="AK44" s="248"/>
      <c r="AL44" s="495">
        <f>H44</f>
        <v>6</v>
      </c>
      <c r="AM44" s="493">
        <f>H44</f>
        <v>6</v>
      </c>
      <c r="AN44" s="493">
        <f>H44</f>
        <v>6</v>
      </c>
      <c r="AO44" s="493">
        <f>SUM((AL44+AM44+AN44)/3)</f>
        <v>6</v>
      </c>
      <c r="AP44" s="248"/>
      <c r="AQ44" s="495">
        <f>I44</f>
        <v>6</v>
      </c>
      <c r="AR44" s="493">
        <f>I44</f>
        <v>6</v>
      </c>
      <c r="AS44" s="493">
        <f>I44</f>
        <v>6</v>
      </c>
      <c r="AT44" s="493">
        <f>SUM((AQ44+AR44+AS44)/3)</f>
        <v>6</v>
      </c>
      <c r="AU44" s="248"/>
      <c r="AV44" s="619"/>
      <c r="AW44" s="495">
        <f>K44</f>
        <v>6</v>
      </c>
      <c r="AX44" s="493">
        <f>K44</f>
        <v>6</v>
      </c>
      <c r="AY44" s="493">
        <f>K44</f>
        <v>6</v>
      </c>
      <c r="AZ44" s="493">
        <f>SUM((AW44+AX44+AY44)/3)</f>
        <v>6</v>
      </c>
      <c r="BA44" s="248"/>
      <c r="BB44" s="495">
        <f>L44</f>
        <v>6</v>
      </c>
      <c r="BC44" s="493">
        <f>L44</f>
        <v>6</v>
      </c>
      <c r="BD44" s="493">
        <f>L44</f>
        <v>6</v>
      </c>
      <c r="BE44" s="493">
        <f>SUM((BB44+BC44+BD44)/3)</f>
        <v>6</v>
      </c>
      <c r="BF44" s="248"/>
      <c r="BG44" s="495">
        <f>M44</f>
        <v>6</v>
      </c>
      <c r="BH44" s="493">
        <f>M44</f>
        <v>6</v>
      </c>
      <c r="BI44" s="493">
        <f>M44</f>
        <v>6</v>
      </c>
      <c r="BJ44" s="493">
        <f>SUM((BG44+BH44+BI44)/3)</f>
        <v>6</v>
      </c>
      <c r="BK44" s="248"/>
      <c r="BL44" s="495">
        <f>N44</f>
        <v>6</v>
      </c>
      <c r="BM44" s="493">
        <f>N44</f>
        <v>6</v>
      </c>
      <c r="BN44" s="493">
        <f>N44</f>
        <v>6</v>
      </c>
      <c r="BO44" s="493">
        <f>SUM((BL44+BM44+BN44)/3)</f>
        <v>6</v>
      </c>
      <c r="BP44" s="248"/>
      <c r="BQ44" s="247"/>
      <c r="BR44" s="495">
        <f>P44</f>
        <v>6</v>
      </c>
      <c r="BS44" s="493">
        <f>P44</f>
        <v>6</v>
      </c>
      <c r="BT44" s="493">
        <f>P44</f>
        <v>6</v>
      </c>
      <c r="BU44" s="493">
        <f>SUM((BR44+BS44+BT44)/3)</f>
        <v>6</v>
      </c>
      <c r="BV44" s="248"/>
      <c r="BW44" s="495">
        <f>Q44</f>
        <v>6</v>
      </c>
      <c r="BX44" s="493">
        <f>Q44</f>
        <v>6</v>
      </c>
      <c r="BY44" s="493">
        <f>Q44</f>
        <v>6</v>
      </c>
      <c r="BZ44" s="493">
        <f>SUM((BW44+BX44+BY44)/3)</f>
        <v>6</v>
      </c>
      <c r="CA44" s="248"/>
      <c r="CB44" s="495">
        <f>R44</f>
        <v>6</v>
      </c>
      <c r="CC44" s="493">
        <f>R44</f>
        <v>6</v>
      </c>
      <c r="CD44" s="493">
        <f>R44</f>
        <v>6</v>
      </c>
      <c r="CE44" s="493">
        <f>SUM((CB44+CC44+CD44)/3)</f>
        <v>6</v>
      </c>
      <c r="CF44" s="248"/>
      <c r="CG44" s="495">
        <f>S44</f>
        <v>6</v>
      </c>
      <c r="CH44" s="493">
        <f>S44</f>
        <v>6</v>
      </c>
      <c r="CI44" s="493">
        <f>S44</f>
        <v>6</v>
      </c>
      <c r="CJ44" s="493">
        <f>SUM((CG44+CH44+CI44)/3)</f>
        <v>6</v>
      </c>
      <c r="CK44" s="248"/>
    </row>
    <row r="45" spans="1:179" s="57" customFormat="1" ht="9.75" customHeight="1" x14ac:dyDescent="0.15">
      <c r="A45" s="488" t="s">
        <v>199</v>
      </c>
      <c r="B45" s="167">
        <v>0.2</v>
      </c>
      <c r="C45" s="371">
        <v>500000</v>
      </c>
      <c r="D45" s="291"/>
      <c r="E45" s="229"/>
      <c r="F45" s="226">
        <v>0</v>
      </c>
      <c r="G45" s="227">
        <v>0</v>
      </c>
      <c r="H45" s="492">
        <f>SUM(G45+(IF(IF(ISBLANK(D45),B45,D45)*(G30/3)&gt;(IF(ISBLANK(E45),C45,E45)),IF(ISBLANK(E45),C45,E45),IF(ISBLANK(D45),B45,D45)*(G30/3))))</f>
        <v>0</v>
      </c>
      <c r="I45" s="491">
        <f>SUM(G45+(IF(IF(ISBLANK(D45),B45,D45)*(H30/3)&gt;(IF(ISBLANK(E45),C45,E45)),IF(ISBLANK(E45),C45,E45),IF(ISBLANK(D45),B45,D45)*(H30/3))))</f>
        <v>320.96076032077417</v>
      </c>
      <c r="J45" s="217">
        <f t="shared" si="110"/>
        <v>962.88228096232251</v>
      </c>
      <c r="K45" s="492">
        <f>SUM(G45+(IF(IF(ISBLANK(D45),B45,D45)*(I30/3)&gt;(IF(ISBLANK(E45),C45,E45)),IF(ISBLANK(E45),C45,E45),IF(ISBLANK(D45),B45,D45)*(I30/3))))</f>
        <v>1080.0449560495915</v>
      </c>
      <c r="L45" s="492">
        <f>SUM(G45+(IF(IF(ISBLANK(D45),B45,D45)*(K30/3)&gt;(IF(ISBLANK(E45),C45,E45)),IF(ISBLANK(E45),C45,E45),IF(ISBLANK(D45),B45,D45)*(K30/3))))</f>
        <v>1751.7637446951737</v>
      </c>
      <c r="M45" s="492">
        <f>SUM(G45+(IF(IF(ISBLANK(D45),B45,D45)*(L30/3)&gt;(IF(ISBLANK(E45),C45,E45)),IF(ISBLANK(E45),C45,E45),IF(ISBLANK(D45),B45,D45)*(L30/3))))</f>
        <v>2563.7932217577827</v>
      </c>
      <c r="N45" s="492">
        <f>SUM(G45+(IF(IF(ISBLANK(D45),B45,D45)*(M30/3)&gt;(IF(ISBLANK(E45),C45,E45)),IF(ISBLANK(E45),C45,E45),IF(ISBLANK(D45),B45,D45)*(M30/3))))</f>
        <v>3478.7990254715705</v>
      </c>
      <c r="O45" s="217">
        <f t="shared" si="111"/>
        <v>26623.202843922354</v>
      </c>
      <c r="P45" s="492">
        <f>SUM(G45+(IF(IF(ISBLANK(D45),B45,D45)*(N30/3)&gt;(IF(ISBLANK(E45),C45,E45)),IF(ISBLANK(E45),C45,E45),IF(ISBLANK(D45),B45,D45)*(N30/3))))</f>
        <v>4506.7557145513711</v>
      </c>
      <c r="Q45" s="492">
        <f>SUM(G45+(IF(IF(ISBLANK(D45),B45,D45)*(P30/3)&gt;(IF(ISBLANK(E45),C45,E45)),IF(ISBLANK(E45),C45,E45),IF(ISBLANK(D45),B45,D45)*(P30/3))))</f>
        <v>5659.5181404816249</v>
      </c>
      <c r="R45" s="492">
        <f>SUM(G45+(IF(IF(ISBLANK(D45),B45,D45)*(Q30/3)&gt;(IF(ISBLANK(E45),C45,E45)),IF(ISBLANK(E45),C45,E45),IF(ISBLANK(D45),B45,D45)*(Q30/3))))</f>
        <v>7006.4125656676006</v>
      </c>
      <c r="S45" s="492">
        <f>SUM(G45+(IF(IF(ISBLANK(D45),B45,D45)*(R30/3)&gt;(IF(ISBLANK(E45),C45,E45)),IF(ISBLANK(E45),C45,E45),IF(ISBLANK(D45),B45,D45)*(R30/3))))</f>
        <v>8625.9072147585066</v>
      </c>
      <c r="T45" s="218">
        <f t="shared" si="112"/>
        <v>77395.780906377302</v>
      </c>
      <c r="U45" s="221"/>
      <c r="V45" s="239">
        <f>SUM(G45+(IF(IF(ISBLANK(D45),B45,D45)*(S30)&gt;(IF(ISBLANK(E45),C45,E45)),IF(ISBLANK(E45),C45,E45),IF(ISBLANK(D45),B45,D45)*(S30))))</f>
        <v>31812.326518313344</v>
      </c>
      <c r="W45" s="217">
        <f>SUM(G45+(IF(IF(ISBLANK(D45),B45,D45)*(V30)&gt;(IF(ISBLANK(E45),C45,E45)),IF(ISBLANK(E45),C45,E45),IF(ISBLANK(D45),B45,D45)*(V30))))</f>
        <v>296412.23581179022</v>
      </c>
      <c r="X45" s="242">
        <f>SUM(G45+(IF(IF(ISBLANK(D45),B45,D45)*(W30)&gt;(IF(ISBLANK(E45),C45,E45)),IF(ISBLANK(E45),C45,E45),IF(ISBLANK(D45),B45,D45)*(W30))))</f>
        <v>500000</v>
      </c>
      <c r="Y45" s="221"/>
      <c r="Z45" s="578">
        <v>0</v>
      </c>
      <c r="AA45" s="617"/>
      <c r="AB45" s="532">
        <f t="shared" si="113"/>
        <v>0</v>
      </c>
      <c r="AC45" s="492">
        <f t="shared" si="114"/>
        <v>0</v>
      </c>
      <c r="AD45" s="492">
        <f t="shared" si="115"/>
        <v>0</v>
      </c>
      <c r="AE45" s="492">
        <f>SUM(AB45:AD45)</f>
        <v>0</v>
      </c>
      <c r="AF45" s="222"/>
      <c r="AG45" s="532">
        <f t="shared" si="116"/>
        <v>0</v>
      </c>
      <c r="AH45" s="492">
        <f t="shared" si="117"/>
        <v>0</v>
      </c>
      <c r="AI45" s="492">
        <f t="shared" si="118"/>
        <v>0</v>
      </c>
      <c r="AJ45" s="492">
        <f t="shared" si="99"/>
        <v>0</v>
      </c>
      <c r="AK45" s="222"/>
      <c r="AL45" s="532">
        <f t="shared" si="119"/>
        <v>0</v>
      </c>
      <c r="AM45" s="492">
        <f t="shared" si="120"/>
        <v>0</v>
      </c>
      <c r="AN45" s="492">
        <f t="shared" si="121"/>
        <v>0</v>
      </c>
      <c r="AO45" s="492">
        <f>SUM(AL45:AN45)</f>
        <v>0</v>
      </c>
      <c r="AP45" s="222"/>
      <c r="AQ45" s="532">
        <f t="shared" si="122"/>
        <v>320.96076032077417</v>
      </c>
      <c r="AR45" s="492">
        <f t="shared" si="123"/>
        <v>320.96076032077417</v>
      </c>
      <c r="AS45" s="492">
        <f t="shared" si="124"/>
        <v>320.96076032077417</v>
      </c>
      <c r="AT45" s="492">
        <f>SUM(AQ45:AS45)</f>
        <v>962.88228096232251</v>
      </c>
      <c r="AU45" s="222"/>
      <c r="AV45" s="617"/>
      <c r="AW45" s="532">
        <f t="shared" si="125"/>
        <v>1080.0449560495915</v>
      </c>
      <c r="AX45" s="492">
        <f t="shared" si="126"/>
        <v>1080.0449560495915</v>
      </c>
      <c r="AY45" s="492">
        <f t="shared" si="127"/>
        <v>1080.0449560495915</v>
      </c>
      <c r="AZ45" s="492">
        <f>SUM(AW45:AY45)</f>
        <v>3240.1348681487743</v>
      </c>
      <c r="BA45" s="222"/>
      <c r="BB45" s="532">
        <f t="shared" si="128"/>
        <v>1751.7637446951737</v>
      </c>
      <c r="BC45" s="492">
        <f t="shared" si="129"/>
        <v>1751.7637446951737</v>
      </c>
      <c r="BD45" s="492">
        <f t="shared" si="130"/>
        <v>1751.7637446951737</v>
      </c>
      <c r="BE45" s="492">
        <f>SUM(BB45:BD45)</f>
        <v>5255.291234085521</v>
      </c>
      <c r="BF45" s="222"/>
      <c r="BG45" s="532">
        <f t="shared" si="131"/>
        <v>2563.7932217577827</v>
      </c>
      <c r="BH45" s="492">
        <f t="shared" si="132"/>
        <v>2563.7932217577827</v>
      </c>
      <c r="BI45" s="492">
        <f t="shared" si="133"/>
        <v>2563.7932217577827</v>
      </c>
      <c r="BJ45" s="492">
        <f>SUM(BG45:BI45)</f>
        <v>7691.3796652733481</v>
      </c>
      <c r="BK45" s="222"/>
      <c r="BL45" s="532">
        <f t="shared" si="134"/>
        <v>3478.7990254715705</v>
      </c>
      <c r="BM45" s="492">
        <f t="shared" si="135"/>
        <v>3478.7990254715705</v>
      </c>
      <c r="BN45" s="492">
        <f t="shared" si="136"/>
        <v>3478.7990254715705</v>
      </c>
      <c r="BO45" s="492">
        <f>SUM(BL45:BN45)</f>
        <v>10436.397076414713</v>
      </c>
      <c r="BP45" s="222"/>
      <c r="BQ45" s="221"/>
      <c r="BR45" s="532">
        <f t="shared" si="137"/>
        <v>4506.7557145513711</v>
      </c>
      <c r="BS45" s="492">
        <f>P45</f>
        <v>4506.7557145513711</v>
      </c>
      <c r="BT45" s="492">
        <f t="shared" si="139"/>
        <v>4506.7557145513711</v>
      </c>
      <c r="BU45" s="492">
        <f>SUM(BR45:BT45)</f>
        <v>13520.267143654113</v>
      </c>
      <c r="BV45" s="222"/>
      <c r="BW45" s="532">
        <f t="shared" si="140"/>
        <v>5659.5181404816249</v>
      </c>
      <c r="BX45" s="492">
        <f t="shared" si="141"/>
        <v>5659.5181404816249</v>
      </c>
      <c r="BY45" s="492">
        <f t="shared" si="142"/>
        <v>5659.5181404816249</v>
      </c>
      <c r="BZ45" s="492">
        <f>SUM(BW45:BY45)</f>
        <v>16978.554421444875</v>
      </c>
      <c r="CA45" s="222"/>
      <c r="CB45" s="532">
        <f t="shared" si="143"/>
        <v>7006.4125656676006</v>
      </c>
      <c r="CC45" s="492">
        <f t="shared" si="144"/>
        <v>7006.4125656676006</v>
      </c>
      <c r="CD45" s="492">
        <f t="shared" si="145"/>
        <v>7006.4125656676006</v>
      </c>
      <c r="CE45" s="492">
        <f>SUM(CB45:CD45)</f>
        <v>21019.237697002802</v>
      </c>
      <c r="CF45" s="222"/>
      <c r="CG45" s="532">
        <f t="shared" si="146"/>
        <v>8625.9072147585066</v>
      </c>
      <c r="CH45" s="492">
        <f t="shared" si="147"/>
        <v>8625.9072147585066</v>
      </c>
      <c r="CI45" s="492">
        <f t="shared" si="148"/>
        <v>8625.9072147585066</v>
      </c>
      <c r="CJ45" s="492">
        <f>SUM(CG45:CI45)</f>
        <v>25877.72164427552</v>
      </c>
      <c r="CK45" s="222"/>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row>
    <row r="46" spans="1:179" s="57" customFormat="1" ht="9.75" customHeight="1" x14ac:dyDescent="0.15">
      <c r="A46" s="488" t="s">
        <v>200</v>
      </c>
      <c r="B46" s="374">
        <v>0</v>
      </c>
      <c r="C46" s="218"/>
      <c r="D46" s="228"/>
      <c r="E46" s="229"/>
      <c r="F46" s="226">
        <v>1000</v>
      </c>
      <c r="G46" s="227">
        <f>SUM((IF(ISBLANK(D46),B46,D46)/3)*0.35)</f>
        <v>0</v>
      </c>
      <c r="H46" s="492">
        <f>SUM((IF(ISBLANK(D46),B46,D46)/3)*0.3)</f>
        <v>0</v>
      </c>
      <c r="I46" s="491">
        <f>SUM((IF(ISBLANK(D46),B46,D46)/3)*0.2)</f>
        <v>0</v>
      </c>
      <c r="J46" s="217">
        <f>SUM(F46:I46)*3</f>
        <v>3000</v>
      </c>
      <c r="K46" s="492">
        <f>SUM((IF(ISBLANK(D46),B46,D46)/3)*0.15)</f>
        <v>0</v>
      </c>
      <c r="L46" s="492">
        <v>0</v>
      </c>
      <c r="M46" s="492">
        <v>0</v>
      </c>
      <c r="N46" s="492">
        <v>0</v>
      </c>
      <c r="O46" s="217">
        <f>SUM(K46:N46)*3</f>
        <v>0</v>
      </c>
      <c r="P46" s="492">
        <v>0</v>
      </c>
      <c r="Q46" s="492">
        <v>0</v>
      </c>
      <c r="R46" s="492">
        <v>0</v>
      </c>
      <c r="S46" s="492">
        <v>0</v>
      </c>
      <c r="T46" s="218">
        <f>SUM(P46:S46)*3</f>
        <v>0</v>
      </c>
      <c r="U46" s="221"/>
      <c r="V46" s="239">
        <v>0</v>
      </c>
      <c r="W46" s="217">
        <v>0</v>
      </c>
      <c r="X46" s="242">
        <v>0</v>
      </c>
      <c r="Y46" s="221"/>
      <c r="Z46" s="578">
        <v>2000</v>
      </c>
      <c r="AA46" s="617"/>
      <c r="AB46" s="532">
        <f t="shared" si="113"/>
        <v>1000</v>
      </c>
      <c r="AC46" s="492">
        <f t="shared" si="114"/>
        <v>1000</v>
      </c>
      <c r="AD46" s="492">
        <f t="shared" si="115"/>
        <v>1000</v>
      </c>
      <c r="AE46" s="492">
        <f>SUM(AB46:AD46)</f>
        <v>3000</v>
      </c>
      <c r="AF46" s="222"/>
      <c r="AG46" s="532">
        <f t="shared" si="116"/>
        <v>0</v>
      </c>
      <c r="AH46" s="492">
        <f t="shared" si="117"/>
        <v>0</v>
      </c>
      <c r="AI46" s="492">
        <f t="shared" si="118"/>
        <v>0</v>
      </c>
      <c r="AJ46" s="492">
        <f t="shared" si="99"/>
        <v>0</v>
      </c>
      <c r="AK46" s="222"/>
      <c r="AL46" s="532">
        <f t="shared" si="119"/>
        <v>0</v>
      </c>
      <c r="AM46" s="492">
        <f t="shared" si="120"/>
        <v>0</v>
      </c>
      <c r="AN46" s="492">
        <f t="shared" si="121"/>
        <v>0</v>
      </c>
      <c r="AO46" s="492">
        <f>SUM(AL46:AN46)</f>
        <v>0</v>
      </c>
      <c r="AP46" s="222"/>
      <c r="AQ46" s="532">
        <f t="shared" si="122"/>
        <v>0</v>
      </c>
      <c r="AR46" s="492">
        <f t="shared" si="123"/>
        <v>0</v>
      </c>
      <c r="AS46" s="492">
        <f t="shared" si="124"/>
        <v>0</v>
      </c>
      <c r="AT46" s="492">
        <f>SUM(AQ46:AS46)</f>
        <v>0</v>
      </c>
      <c r="AU46" s="222"/>
      <c r="AV46" s="617"/>
      <c r="AW46" s="532">
        <f t="shared" si="125"/>
        <v>0</v>
      </c>
      <c r="AX46" s="492">
        <f t="shared" si="126"/>
        <v>0</v>
      </c>
      <c r="AY46" s="492">
        <f t="shared" si="127"/>
        <v>0</v>
      </c>
      <c r="AZ46" s="492">
        <f>SUM(AW46:AY46)</f>
        <v>0</v>
      </c>
      <c r="BA46" s="222"/>
      <c r="BB46" s="532">
        <f t="shared" si="128"/>
        <v>0</v>
      </c>
      <c r="BC46" s="492">
        <f t="shared" si="129"/>
        <v>0</v>
      </c>
      <c r="BD46" s="492">
        <f t="shared" si="130"/>
        <v>0</v>
      </c>
      <c r="BE46" s="492">
        <f>SUM(BB46:BD46)</f>
        <v>0</v>
      </c>
      <c r="BF46" s="222"/>
      <c r="BG46" s="532">
        <f t="shared" si="131"/>
        <v>0</v>
      </c>
      <c r="BH46" s="492">
        <f t="shared" si="132"/>
        <v>0</v>
      </c>
      <c r="BI46" s="492">
        <f t="shared" si="133"/>
        <v>0</v>
      </c>
      <c r="BJ46" s="492">
        <f>SUM(BG46:BI46)</f>
        <v>0</v>
      </c>
      <c r="BK46" s="222"/>
      <c r="BL46" s="532">
        <f t="shared" si="134"/>
        <v>0</v>
      </c>
      <c r="BM46" s="492">
        <f t="shared" si="135"/>
        <v>0</v>
      </c>
      <c r="BN46" s="492">
        <f t="shared" si="136"/>
        <v>0</v>
      </c>
      <c r="BO46" s="492">
        <f>SUM(BL46:BN46)</f>
        <v>0</v>
      </c>
      <c r="BP46" s="222"/>
      <c r="BQ46" s="221"/>
      <c r="BR46" s="532">
        <f t="shared" si="137"/>
        <v>0</v>
      </c>
      <c r="BS46" s="492">
        <f>P46</f>
        <v>0</v>
      </c>
      <c r="BT46" s="492">
        <f t="shared" si="139"/>
        <v>0</v>
      </c>
      <c r="BU46" s="492">
        <f>SUM(BR46:BT46)</f>
        <v>0</v>
      </c>
      <c r="BV46" s="222"/>
      <c r="BW46" s="532">
        <f t="shared" si="140"/>
        <v>0</v>
      </c>
      <c r="BX46" s="492">
        <f t="shared" si="141"/>
        <v>0</v>
      </c>
      <c r="BY46" s="492">
        <f t="shared" si="142"/>
        <v>0</v>
      </c>
      <c r="BZ46" s="492">
        <f>SUM(BW46:BY46)</f>
        <v>0</v>
      </c>
      <c r="CA46" s="222"/>
      <c r="CB46" s="532">
        <f t="shared" si="143"/>
        <v>0</v>
      </c>
      <c r="CC46" s="492">
        <f t="shared" si="144"/>
        <v>0</v>
      </c>
      <c r="CD46" s="492">
        <f t="shared" si="145"/>
        <v>0</v>
      </c>
      <c r="CE46" s="492">
        <f>SUM(CB46:CD46)</f>
        <v>0</v>
      </c>
      <c r="CF46" s="222"/>
      <c r="CG46" s="532">
        <f t="shared" si="146"/>
        <v>0</v>
      </c>
      <c r="CH46" s="492">
        <f t="shared" si="147"/>
        <v>0</v>
      </c>
      <c r="CI46" s="492">
        <f t="shared" si="148"/>
        <v>0</v>
      </c>
      <c r="CJ46" s="492">
        <f>SUM(CG46:CI46)</f>
        <v>0</v>
      </c>
      <c r="CK46" s="222"/>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row>
    <row r="47" spans="1:179" s="57" customFormat="1" ht="9.75" customHeight="1" x14ac:dyDescent="0.15">
      <c r="A47" s="421" t="s">
        <v>239</v>
      </c>
      <c r="B47" s="249"/>
      <c r="C47" s="250"/>
      <c r="D47" s="249"/>
      <c r="E47" s="251"/>
      <c r="F47" s="419">
        <f>AE47</f>
        <v>120681.40486718802</v>
      </c>
      <c r="G47" s="420">
        <f>AJ47</f>
        <v>117764.92375451286</v>
      </c>
      <c r="H47" s="420">
        <f>AO47</f>
        <v>62042.584488526991</v>
      </c>
      <c r="I47" s="420">
        <f>AT47</f>
        <v>65304.832423181477</v>
      </c>
      <c r="J47" s="211">
        <f>SUM(F47:I47)</f>
        <v>365793.7455334093</v>
      </c>
      <c r="K47" s="420">
        <f>AZ47</f>
        <v>86550.69945983075</v>
      </c>
      <c r="L47" s="420">
        <f>BE47</f>
        <v>92572.84604542458</v>
      </c>
      <c r="M47" s="420">
        <f>BJ47</f>
        <v>99653.665860617795</v>
      </c>
      <c r="N47" s="420">
        <f>BO47</f>
        <v>107600.88282023209</v>
      </c>
      <c r="O47" s="211">
        <f>SUM(K47:N47)</f>
        <v>386378.09418610518</v>
      </c>
      <c r="P47" s="420">
        <f>BU47</f>
        <v>116505.29484273554</v>
      </c>
      <c r="Q47" s="420">
        <f>BZ47</f>
        <v>126613.0688953246</v>
      </c>
      <c r="R47" s="420">
        <f>CE47</f>
        <v>155176.22943466177</v>
      </c>
      <c r="S47" s="420">
        <f>CJ47</f>
        <v>186219.07287527921</v>
      </c>
      <c r="T47" s="230">
        <f>SUM(P47:S47)</f>
        <v>584513.66604800115</v>
      </c>
      <c r="U47" s="232"/>
      <c r="V47" s="231">
        <f>SUM(V33:V45)</f>
        <v>1113612.4217427683</v>
      </c>
      <c r="W47" s="211">
        <f>SUM(W33:W45)</f>
        <v>2305669.0554688368</v>
      </c>
      <c r="X47" s="212">
        <f>SUM(X33:X45)</f>
        <v>3857603.2402367257</v>
      </c>
      <c r="Y47" s="232"/>
      <c r="Z47" s="579">
        <f>SUM(Z33:Z46)</f>
        <v>1083618.2</v>
      </c>
      <c r="AA47" s="618"/>
      <c r="AB47" s="535">
        <f>SUM(AB33:AB46)</f>
        <v>40227.134955729336</v>
      </c>
      <c r="AC47" s="420">
        <f>SUM(AC33:AC46)</f>
        <v>40227.134955729336</v>
      </c>
      <c r="AD47" s="420">
        <f>SUM(AD33:AD46)</f>
        <v>40227.134955729336</v>
      </c>
      <c r="AE47" s="211">
        <f>SUM(AB47:AD47)</f>
        <v>120681.40486718802</v>
      </c>
      <c r="AF47" s="212"/>
      <c r="AG47" s="535">
        <f>SUM(AG33:AG46)</f>
        <v>39254.974584837619</v>
      </c>
      <c r="AH47" s="420">
        <f>SUM(AH33:AH46)</f>
        <v>39254.974584837619</v>
      </c>
      <c r="AI47" s="420">
        <f>SUM(AI33:AI46)</f>
        <v>39254.974584837619</v>
      </c>
      <c r="AJ47" s="211">
        <f>SUM(AG47:AI47)</f>
        <v>117764.92375451286</v>
      </c>
      <c r="AK47" s="212"/>
      <c r="AL47" s="535">
        <f>SUM(AL33:AL46)</f>
        <v>20680.861496175665</v>
      </c>
      <c r="AM47" s="420">
        <f>SUM(AM33:AM46)</f>
        <v>20680.861496175665</v>
      </c>
      <c r="AN47" s="420">
        <f>SUM(AN33:AN46)</f>
        <v>20680.861496175665</v>
      </c>
      <c r="AO47" s="211">
        <f>SUM(AL47:AN47)</f>
        <v>62042.584488526991</v>
      </c>
      <c r="AP47" s="212"/>
      <c r="AQ47" s="535">
        <f>SUM(AQ33:AQ46)</f>
        <v>21768.277474393824</v>
      </c>
      <c r="AR47" s="420">
        <f>SUM(AR33:AR46)</f>
        <v>21768.277474393824</v>
      </c>
      <c r="AS47" s="420">
        <f>SUM(AS33:AS46)</f>
        <v>21768.277474393824</v>
      </c>
      <c r="AT47" s="211">
        <f>SUM(AQ47:AS47)</f>
        <v>65304.832423181477</v>
      </c>
      <c r="AU47" s="212"/>
      <c r="AV47" s="618"/>
      <c r="AW47" s="535">
        <f>SUM(AW33:AW46)</f>
        <v>28850.233153276917</v>
      </c>
      <c r="AX47" s="420">
        <f>SUM(AX33:AX46)</f>
        <v>28850.233153276917</v>
      </c>
      <c r="AY47" s="420">
        <f>SUM(AY33:AY46)</f>
        <v>28850.233153276917</v>
      </c>
      <c r="AZ47" s="211">
        <f>SUM(AW47:AY47)</f>
        <v>86550.69945983075</v>
      </c>
      <c r="BA47" s="212"/>
      <c r="BB47" s="535">
        <f>SUM(BB33:BB46)</f>
        <v>30857.615348474857</v>
      </c>
      <c r="BC47" s="420">
        <f>SUM(BC33:BC46)</f>
        <v>30857.615348474857</v>
      </c>
      <c r="BD47" s="420">
        <f>SUM(BD33:BD46)</f>
        <v>30857.615348474857</v>
      </c>
      <c r="BE47" s="211">
        <f>SUM(BB47:BD47)</f>
        <v>92572.84604542458</v>
      </c>
      <c r="BF47" s="212"/>
      <c r="BG47" s="535">
        <f>SUM(BG33:BG46)</f>
        <v>33217.888620205929</v>
      </c>
      <c r="BH47" s="420">
        <f>SUM(BH33:BH46)</f>
        <v>33217.888620205929</v>
      </c>
      <c r="BI47" s="420">
        <f>SUM(BI33:BI46)</f>
        <v>33217.888620205929</v>
      </c>
      <c r="BJ47" s="211">
        <f>SUM(BG47:BI47)</f>
        <v>99653.665860617795</v>
      </c>
      <c r="BK47" s="212"/>
      <c r="BL47" s="535">
        <f>SUM(BL33:BL46)</f>
        <v>35866.960940077362</v>
      </c>
      <c r="BM47" s="420">
        <f>SUM(BM33:BM46)</f>
        <v>35866.960940077362</v>
      </c>
      <c r="BN47" s="420">
        <f>SUM(BN33:BN46)</f>
        <v>35866.960940077362</v>
      </c>
      <c r="BO47" s="211">
        <f>SUM(BL47:BN47)</f>
        <v>107600.88282023209</v>
      </c>
      <c r="BP47" s="212"/>
      <c r="BQ47" s="232"/>
      <c r="BR47" s="535">
        <f>SUM(BR33:BR46)</f>
        <v>38835.09828091185</v>
      </c>
      <c r="BS47" s="420">
        <f>SUM(BS33:BS46)</f>
        <v>38835.09828091185</v>
      </c>
      <c r="BT47" s="420">
        <f>SUM(BT33:BT46)</f>
        <v>38835.09828091185</v>
      </c>
      <c r="BU47" s="211">
        <f>SUM(BR47:BT47)</f>
        <v>116505.29484273554</v>
      </c>
      <c r="BV47" s="212"/>
      <c r="BW47" s="535">
        <f>SUM(BW33:BW46)</f>
        <v>42204.356298441533</v>
      </c>
      <c r="BX47" s="420">
        <f>SUM(BX33:BX46)</f>
        <v>42204.356298441533</v>
      </c>
      <c r="BY47" s="420">
        <f>SUM(BY33:BY46)</f>
        <v>42204.356298441533</v>
      </c>
      <c r="BZ47" s="211">
        <f>SUM(BW47:BY47)</f>
        <v>126613.0688953246</v>
      </c>
      <c r="CA47" s="212"/>
      <c r="CB47" s="535">
        <f>SUM(CB33:CB46)</f>
        <v>51725.409811553924</v>
      </c>
      <c r="CC47" s="420">
        <f>SUM(CC33:CC46)</f>
        <v>51725.409811553924</v>
      </c>
      <c r="CD47" s="420">
        <f>SUM(CD33:CD46)</f>
        <v>51725.409811553924</v>
      </c>
      <c r="CE47" s="211">
        <f>SUM(CB47:CD47)</f>
        <v>155176.22943466177</v>
      </c>
      <c r="CF47" s="212"/>
      <c r="CG47" s="535">
        <f>SUM(CG33:CG46)</f>
        <v>62073.024291759735</v>
      </c>
      <c r="CH47" s="420">
        <f>SUM(CH33:CH46)</f>
        <v>62073.024291759735</v>
      </c>
      <c r="CI47" s="420">
        <f>SUM(CI33:CI46)</f>
        <v>62073.024291759735</v>
      </c>
      <c r="CJ47" s="211">
        <f>SUM(CG47:CI47)</f>
        <v>186219.07287527921</v>
      </c>
      <c r="CK47" s="212"/>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row>
    <row r="48" spans="1:179" s="55" customFormat="1" ht="4.5" customHeight="1" thickBot="1" x14ac:dyDescent="0.2">
      <c r="A48" s="252"/>
      <c r="B48" s="192"/>
      <c r="C48" s="197"/>
      <c r="D48" s="192"/>
      <c r="E48" s="193"/>
      <c r="F48" s="253"/>
      <c r="G48" s="254"/>
      <c r="H48" s="254"/>
      <c r="I48" s="254"/>
      <c r="J48" s="254"/>
      <c r="K48" s="254"/>
      <c r="L48" s="254"/>
      <c r="M48" s="254"/>
      <c r="N48" s="254"/>
      <c r="O48" s="254"/>
      <c r="P48" s="254"/>
      <c r="Q48" s="254"/>
      <c r="R48" s="254"/>
      <c r="S48" s="254"/>
      <c r="T48" s="255"/>
      <c r="U48" s="258"/>
      <c r="V48" s="256"/>
      <c r="W48" s="254"/>
      <c r="X48" s="257"/>
      <c r="Y48" s="258"/>
      <c r="Z48" s="582"/>
      <c r="AA48" s="620"/>
      <c r="AB48" s="595"/>
      <c r="AC48" s="259"/>
      <c r="AD48" s="259"/>
      <c r="AE48" s="259"/>
      <c r="AF48" s="600"/>
      <c r="AG48" s="595"/>
      <c r="AH48" s="259"/>
      <c r="AI48" s="259"/>
      <c r="AJ48" s="259"/>
      <c r="AK48" s="600"/>
      <c r="AL48" s="595"/>
      <c r="AM48" s="259"/>
      <c r="AN48" s="259"/>
      <c r="AO48" s="259"/>
      <c r="AP48" s="600"/>
      <c r="AQ48" s="595"/>
      <c r="AR48" s="259"/>
      <c r="AS48" s="259"/>
      <c r="AT48" s="259"/>
      <c r="AU48" s="600"/>
      <c r="AV48" s="620"/>
      <c r="AW48" s="595"/>
      <c r="AX48" s="259"/>
      <c r="AY48" s="259"/>
      <c r="AZ48" s="259"/>
      <c r="BA48" s="600"/>
      <c r="BB48" s="595"/>
      <c r="BC48" s="259"/>
      <c r="BD48" s="259"/>
      <c r="BE48" s="259"/>
      <c r="BF48" s="600"/>
      <c r="BG48" s="595"/>
      <c r="BH48" s="259"/>
      <c r="BI48" s="259"/>
      <c r="BJ48" s="259"/>
      <c r="BK48" s="600"/>
      <c r="BL48" s="595"/>
      <c r="BM48" s="259"/>
      <c r="BN48" s="259"/>
      <c r="BO48" s="259"/>
      <c r="BP48" s="600"/>
      <c r="BQ48" s="258"/>
      <c r="BR48" s="595"/>
      <c r="BS48" s="259"/>
      <c r="BT48" s="259"/>
      <c r="BU48" s="259"/>
      <c r="BV48" s="600"/>
      <c r="BW48" s="595"/>
      <c r="BX48" s="259"/>
      <c r="BY48" s="259"/>
      <c r="BZ48" s="259"/>
      <c r="CA48" s="600"/>
      <c r="CB48" s="595"/>
      <c r="CC48" s="259"/>
      <c r="CD48" s="259"/>
      <c r="CE48" s="259"/>
      <c r="CF48" s="600"/>
      <c r="CG48" s="595"/>
      <c r="CH48" s="259"/>
      <c r="CI48" s="259"/>
      <c r="CJ48" s="260"/>
      <c r="CK48" s="261"/>
    </row>
    <row r="49" spans="1:179" s="57" customFormat="1" ht="15" customHeight="1" thickBot="1" x14ac:dyDescent="0.2">
      <c r="A49" s="433" t="s">
        <v>221</v>
      </c>
      <c r="B49" s="262"/>
      <c r="C49" s="263"/>
      <c r="D49" s="262"/>
      <c r="E49" s="264"/>
      <c r="F49" s="265">
        <f>AE49</f>
        <v>-120681.40486718802</v>
      </c>
      <c r="G49" s="266">
        <f>AJ49</f>
        <v>-117764.92375451286</v>
      </c>
      <c r="H49" s="266">
        <f>AO49</f>
        <v>-57228.173083715381</v>
      </c>
      <c r="I49" s="266">
        <f>AT49</f>
        <v>-49104.1580824376</v>
      </c>
      <c r="J49" s="267">
        <f>SUM(F49:I49)</f>
        <v>-344778.65978785383</v>
      </c>
      <c r="K49" s="266">
        <f>AZ49</f>
        <v>-60274.243289403144</v>
      </c>
      <c r="L49" s="268">
        <f>BE49</f>
        <v>-54115.94771905784</v>
      </c>
      <c r="M49" s="268">
        <f>BJ49</f>
        <v>-47471.680478544244</v>
      </c>
      <c r="N49" s="268">
        <f>BO49</f>
        <v>-39999.547101961522</v>
      </c>
      <c r="O49" s="267">
        <f>SUM(K49:N49)</f>
        <v>-201861.41858896677</v>
      </c>
      <c r="P49" s="268">
        <f>BU49</f>
        <v>-31612.522735511186</v>
      </c>
      <c r="Q49" s="268">
        <f>BZ49</f>
        <v>-21516.880410310609</v>
      </c>
      <c r="R49" s="268">
        <f>CE49</f>
        <v>-25787.621213284176</v>
      </c>
      <c r="S49" s="268">
        <f>CJ49</f>
        <v>-27157.440283712494</v>
      </c>
      <c r="T49" s="269">
        <f>SUM(P49:S49)</f>
        <v>-106074.46464281846</v>
      </c>
      <c r="U49" s="272"/>
      <c r="V49" s="270">
        <f>SUM(V30-V47)</f>
        <v>368448.75731618283</v>
      </c>
      <c r="W49" s="267">
        <f>SUM(W30-W47)</f>
        <v>1389340.7729348768</v>
      </c>
      <c r="X49" s="271">
        <f>SUM(X30-X47)</f>
        <v>2878251.2399028856</v>
      </c>
      <c r="Y49" s="272"/>
      <c r="Z49" s="583">
        <f>SUM(Z30-Z47)</f>
        <v>-1083618.2</v>
      </c>
      <c r="AA49" s="621"/>
      <c r="AB49" s="596">
        <f>AB30-AB47</f>
        <v>-40227.134955729336</v>
      </c>
      <c r="AC49" s="273">
        <f>AC30-AC47</f>
        <v>-40227.134955729336</v>
      </c>
      <c r="AD49" s="273">
        <f>AD30-AD47</f>
        <v>-40227.134955729336</v>
      </c>
      <c r="AE49" s="274">
        <f>AE30-AE47</f>
        <v>-120681.40486718802</v>
      </c>
      <c r="AF49" s="601"/>
      <c r="AG49" s="596">
        <f>AG30-AG47</f>
        <v>-39254.974584837619</v>
      </c>
      <c r="AH49" s="273">
        <f>AH30-AH47</f>
        <v>-39254.974584837619</v>
      </c>
      <c r="AI49" s="273">
        <f>AI30-AI47</f>
        <v>-39254.974584837619</v>
      </c>
      <c r="AJ49" s="274">
        <f>AJ30-AJ47</f>
        <v>-117764.92375451286</v>
      </c>
      <c r="AK49" s="601"/>
      <c r="AL49" s="596">
        <f>AL30-AL47</f>
        <v>-19351.799655512848</v>
      </c>
      <c r="AM49" s="273">
        <f>AM30-AM47</f>
        <v>-19063.919045916904</v>
      </c>
      <c r="AN49" s="273">
        <f>AN30-AN47</f>
        <v>-18812.454382285632</v>
      </c>
      <c r="AO49" s="274">
        <f>AO30-AO47</f>
        <v>-57228.173083715381</v>
      </c>
      <c r="AP49" s="601"/>
      <c r="AQ49" s="596">
        <f>AQ30-AQ47</f>
        <v>-16824.433323051977</v>
      </c>
      <c r="AR49" s="273">
        <f>AR30-AR47</f>
        <v>-16346.423825414684</v>
      </c>
      <c r="AS49" s="273">
        <f>AS30-AS47</f>
        <v>-15933.300933970935</v>
      </c>
      <c r="AT49" s="274">
        <f>AT30-AT47</f>
        <v>-49104.1580824376</v>
      </c>
      <c r="AU49" s="601"/>
      <c r="AV49" s="621"/>
      <c r="AW49" s="596">
        <f>AW30-AW47</f>
        <v>-20742.157740152805</v>
      </c>
      <c r="AX49" s="273">
        <f>AX30-AX47</f>
        <v>-20061.643880091371</v>
      </c>
      <c r="AY49" s="273">
        <f>AY30-AY47</f>
        <v>-19470.441669158965</v>
      </c>
      <c r="AZ49" s="274">
        <f>AZ30-AZ47</f>
        <v>-60274.243289403144</v>
      </c>
      <c r="BA49" s="601"/>
      <c r="BB49" s="596">
        <f>BB30-BB47</f>
        <v>-18730.65712566251</v>
      </c>
      <c r="BC49" s="273">
        <f>BC30-BC47</f>
        <v>-18005.699599727104</v>
      </c>
      <c r="BD49" s="273">
        <f>BD30-BD47</f>
        <v>-17379.590993668215</v>
      </c>
      <c r="BE49" s="274">
        <f>BE30-BE47</f>
        <v>-54115.94771905784</v>
      </c>
      <c r="BF49" s="601"/>
      <c r="BG49" s="596">
        <f>BG30-BG47</f>
        <v>-16562.213455662255</v>
      </c>
      <c r="BH49" s="273">
        <f>BH30-BH47</f>
        <v>-15787.923386852221</v>
      </c>
      <c r="BI49" s="273">
        <f>BI30-BI47</f>
        <v>-15121.543636029761</v>
      </c>
      <c r="BJ49" s="274">
        <f>BJ30-BJ47</f>
        <v>-47471.680478544244</v>
      </c>
      <c r="BK49" s="601"/>
      <c r="BL49" s="596">
        <f>BL30-BL47</f>
        <v>-14152.709780292404</v>
      </c>
      <c r="BM49" s="273">
        <f>BM30-BM47</f>
        <v>-13292.672257989681</v>
      </c>
      <c r="BN49" s="273">
        <f>BN30-BN47</f>
        <v>-12554.165063679433</v>
      </c>
      <c r="BO49" s="274">
        <f>BO30-BO47</f>
        <v>-39999.547101961522</v>
      </c>
      <c r="BP49" s="601"/>
      <c r="BQ49" s="272"/>
      <c r="BR49" s="596">
        <f>BR30-BR47</f>
        <v>-11454.125163116165</v>
      </c>
      <c r="BS49" s="273">
        <f>BS30-BS47</f>
        <v>-10491.568634601143</v>
      </c>
      <c r="BT49" s="273">
        <f>BT30-BT47</f>
        <v>-9666.8289377938781</v>
      </c>
      <c r="BU49" s="274">
        <f>BU30-BU47</f>
        <v>-31612.522735511186</v>
      </c>
      <c r="BV49" s="601"/>
      <c r="BW49" s="596">
        <f>BW30-BW47</f>
        <v>-8340.1629518645641</v>
      </c>
      <c r="BX49" s="273">
        <f>BX30-BX47</f>
        <v>-7115.0746328331443</v>
      </c>
      <c r="BY49" s="273">
        <f>BY30-BY47</f>
        <v>-6061.6428256128929</v>
      </c>
      <c r="BZ49" s="274">
        <f>BZ30-BZ47</f>
        <v>-21516.880410310609</v>
      </c>
      <c r="CA49" s="601"/>
      <c r="CB49" s="596">
        <f>CB30-CB47</f>
        <v>-10107.683586237952</v>
      </c>
      <c r="CC49" s="273">
        <f>CC30-CC47</f>
        <v>-8524.5850187775068</v>
      </c>
      <c r="CD49" s="273">
        <f>CD30-CD47</f>
        <v>-7155.352608268724</v>
      </c>
      <c r="CE49" s="274">
        <f>CE30-CE47</f>
        <v>-25787.621213284176</v>
      </c>
      <c r="CF49" s="601"/>
      <c r="CG49" s="596">
        <f>CG30-CG47</f>
        <v>-11039.512278167807</v>
      </c>
      <c r="CH49" s="273">
        <f>CH30-CH47</f>
        <v>-8963.8328369014343</v>
      </c>
      <c r="CI49" s="273">
        <f>CI30-CI47</f>
        <v>-7154.0951686432672</v>
      </c>
      <c r="CJ49" s="267">
        <f>CJ30-CJ47</f>
        <v>-27157.440283712494</v>
      </c>
      <c r="CK49" s="271"/>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row>
    <row r="50" spans="1:179" s="57" customFormat="1" ht="9.75" customHeight="1" x14ac:dyDescent="0.15">
      <c r="A50" s="54"/>
      <c r="B50" s="275"/>
      <c r="C50" s="275"/>
      <c r="D50" s="44"/>
      <c r="E50" s="44"/>
      <c r="F50" s="44"/>
      <c r="G50" s="44"/>
      <c r="H50" s="44"/>
      <c r="I50" s="44"/>
      <c r="J50" s="276"/>
      <c r="K50" s="44"/>
      <c r="L50" s="44"/>
      <c r="M50" s="44"/>
      <c r="N50" s="44"/>
      <c r="O50" s="276"/>
      <c r="P50" s="44"/>
      <c r="Q50" s="44"/>
      <c r="R50" s="44"/>
      <c r="S50" s="44"/>
      <c r="T50" s="44"/>
      <c r="U50" s="44"/>
      <c r="V50" s="44"/>
      <c r="W50" s="44"/>
      <c r="X50" s="44"/>
      <c r="Y50" s="276"/>
      <c r="Z50" s="276"/>
      <c r="AA50" s="276"/>
      <c r="AB50" s="54"/>
      <c r="AC50" s="55"/>
      <c r="AD50" s="55"/>
      <c r="AE50" s="55"/>
      <c r="AF50" s="55"/>
      <c r="AG50" s="55"/>
      <c r="AH50" s="55"/>
      <c r="AI50" s="55"/>
      <c r="AJ50" s="55"/>
      <c r="AK50" s="55"/>
      <c r="AL50" s="55"/>
      <c r="AM50" s="55"/>
      <c r="AN50" s="55"/>
      <c r="AO50" s="56"/>
      <c r="AP50" s="56"/>
      <c r="AQ50" s="56"/>
      <c r="AR50" s="56"/>
      <c r="AS50" s="56"/>
      <c r="AT50" s="56"/>
      <c r="AU50" s="56"/>
      <c r="AV50" s="276"/>
      <c r="AW50" s="56"/>
      <c r="AX50" s="56"/>
      <c r="AZ50" s="58"/>
      <c r="BA50" s="58"/>
      <c r="BB50" s="56"/>
      <c r="BC50" s="56"/>
      <c r="BD50" s="56"/>
      <c r="BE50" s="56"/>
      <c r="BF50" s="56"/>
      <c r="BG50" s="56"/>
      <c r="BH50" s="56"/>
      <c r="BI50" s="56"/>
      <c r="BJ50" s="56"/>
      <c r="BK50" s="56"/>
      <c r="BL50" s="56"/>
      <c r="BM50" s="56"/>
      <c r="BN50" s="56"/>
      <c r="BO50" s="56"/>
      <c r="BP50" s="56"/>
      <c r="BQ50" s="276"/>
      <c r="BR50" s="56"/>
      <c r="BS50" s="56"/>
      <c r="BU50" s="58"/>
      <c r="BV50" s="58"/>
      <c r="BW50" s="56"/>
      <c r="BX50" s="56"/>
      <c r="BY50" s="56"/>
      <c r="BZ50" s="56"/>
      <c r="CA50" s="56"/>
      <c r="CB50" s="56"/>
      <c r="CC50" s="56"/>
      <c r="CD50" s="56"/>
      <c r="CE50" s="56"/>
      <c r="CF50" s="56"/>
      <c r="CG50" s="56"/>
      <c r="CH50" s="56"/>
      <c r="CI50" s="56"/>
      <c r="CJ50" s="56"/>
      <c r="CK50" s="56"/>
    </row>
    <row r="51" spans="1:179" s="57" customFormat="1" ht="9.75" customHeight="1" x14ac:dyDescent="0.15">
      <c r="A51" s="277"/>
      <c r="B51" s="278"/>
      <c r="C51" s="278"/>
      <c r="D51" s="44"/>
      <c r="E51" s="44"/>
      <c r="F51" s="44"/>
      <c r="G51" s="44"/>
      <c r="H51" s="44"/>
      <c r="I51" s="44"/>
      <c r="J51" s="53"/>
      <c r="K51" s="44"/>
      <c r="L51" s="44"/>
      <c r="M51" s="44"/>
      <c r="N51" s="44"/>
      <c r="O51" s="53"/>
      <c r="P51" s="44"/>
      <c r="Q51" s="44"/>
      <c r="R51" s="44"/>
      <c r="S51" s="44"/>
      <c r="T51" s="44"/>
      <c r="U51" s="44"/>
      <c r="V51" s="44"/>
      <c r="W51" s="44"/>
      <c r="X51" s="44"/>
      <c r="Y51" s="53"/>
      <c r="Z51" s="53"/>
      <c r="AA51" s="53"/>
      <c r="AB51" s="54"/>
      <c r="AC51" s="55"/>
      <c r="AD51" s="55"/>
      <c r="AE51" s="55"/>
      <c r="AF51" s="55"/>
      <c r="AG51" s="55"/>
      <c r="AH51" s="55"/>
      <c r="AI51" s="55"/>
      <c r="AJ51" s="55"/>
      <c r="AK51" s="55"/>
      <c r="AL51" s="55"/>
      <c r="AM51" s="55"/>
      <c r="AN51" s="55"/>
      <c r="AO51" s="56"/>
      <c r="AP51" s="56"/>
      <c r="AQ51" s="56"/>
      <c r="AR51" s="56"/>
      <c r="AS51" s="56"/>
      <c r="AT51" s="56"/>
      <c r="AU51" s="56"/>
      <c r="AV51" s="53"/>
      <c r="AW51" s="56"/>
      <c r="AX51" s="56"/>
      <c r="AZ51" s="58"/>
      <c r="BA51" s="58"/>
      <c r="BB51" s="56"/>
      <c r="BC51" s="56"/>
      <c r="BD51" s="56"/>
      <c r="BE51" s="56"/>
      <c r="BF51" s="56"/>
      <c r="BG51" s="56"/>
      <c r="BH51" s="56"/>
      <c r="BI51" s="56"/>
      <c r="BJ51" s="56"/>
      <c r="BK51" s="56"/>
      <c r="BL51" s="56"/>
      <c r="BM51" s="56"/>
      <c r="BN51" s="56"/>
      <c r="BO51" s="56"/>
      <c r="BP51" s="56"/>
      <c r="BQ51" s="53"/>
      <c r="BR51" s="56"/>
      <c r="BS51" s="56"/>
      <c r="BU51" s="58"/>
      <c r="BV51" s="58"/>
      <c r="BW51" s="56"/>
      <c r="BX51" s="56"/>
      <c r="BY51" s="56"/>
      <c r="BZ51" s="56"/>
      <c r="CA51" s="56"/>
      <c r="CB51" s="56"/>
      <c r="CC51" s="56"/>
      <c r="CD51" s="56"/>
      <c r="CE51" s="56"/>
      <c r="CF51" s="56"/>
      <c r="CG51" s="56"/>
      <c r="CH51" s="56"/>
      <c r="CI51" s="56"/>
      <c r="CJ51" s="56"/>
      <c r="CK51" s="56"/>
    </row>
    <row r="52" spans="1:179" s="57" customFormat="1" ht="9.75" customHeight="1" x14ac:dyDescent="0.15">
      <c r="A52" s="279"/>
      <c r="B52" s="278"/>
      <c r="C52" s="278"/>
      <c r="D52" s="44"/>
      <c r="E52" s="44"/>
      <c r="F52" s="44"/>
      <c r="G52" s="44"/>
      <c r="H52" s="44"/>
      <c r="I52" s="44"/>
      <c r="J52" s="53"/>
      <c r="K52" s="44"/>
      <c r="L52" s="44"/>
      <c r="M52" s="44"/>
      <c r="N52" s="44"/>
      <c r="O52" s="53"/>
      <c r="P52" s="44"/>
      <c r="Q52" s="44"/>
      <c r="R52" s="44"/>
      <c r="S52" s="44"/>
      <c r="T52" s="44"/>
      <c r="U52" s="44"/>
      <c r="V52" s="44"/>
      <c r="W52" s="44"/>
      <c r="X52" s="44"/>
      <c r="Y52" s="53"/>
      <c r="Z52" s="53"/>
      <c r="AA52" s="53"/>
      <c r="AB52" s="54"/>
      <c r="AC52" s="55"/>
      <c r="AD52" s="55"/>
      <c r="AE52" s="55"/>
      <c r="AF52" s="55"/>
      <c r="AG52" s="55"/>
      <c r="AH52" s="55"/>
      <c r="AI52" s="55"/>
      <c r="AJ52" s="55"/>
      <c r="AK52" s="55"/>
      <c r="AL52" s="55"/>
      <c r="AM52" s="55"/>
      <c r="AN52" s="55"/>
      <c r="AO52" s="56"/>
      <c r="AP52" s="56"/>
      <c r="AQ52" s="56"/>
      <c r="AR52" s="56"/>
      <c r="AS52" s="56"/>
      <c r="AT52" s="56"/>
      <c r="AU52" s="56"/>
      <c r="AV52" s="53"/>
      <c r="AW52" s="56"/>
      <c r="AX52" s="56"/>
      <c r="AZ52" s="58"/>
      <c r="BA52" s="58"/>
      <c r="BB52" s="56"/>
      <c r="BC52" s="56"/>
      <c r="BD52" s="56"/>
      <c r="BE52" s="56"/>
      <c r="BF52" s="56"/>
      <c r="BG52" s="56"/>
      <c r="BH52" s="56"/>
      <c r="BI52" s="56"/>
      <c r="BJ52" s="56"/>
      <c r="BK52" s="56"/>
      <c r="BL52" s="56"/>
      <c r="BM52" s="56"/>
      <c r="BN52" s="56"/>
      <c r="BO52" s="56"/>
      <c r="BP52" s="56"/>
      <c r="BQ52" s="53"/>
      <c r="BR52" s="56"/>
      <c r="BS52" s="56"/>
      <c r="BU52" s="58"/>
      <c r="BV52" s="58"/>
      <c r="BW52" s="56"/>
      <c r="BX52" s="56"/>
      <c r="BY52" s="56"/>
      <c r="BZ52" s="56"/>
      <c r="CA52" s="56"/>
      <c r="CB52" s="56"/>
      <c r="CC52" s="56"/>
      <c r="CD52" s="56"/>
      <c r="CE52" s="56"/>
      <c r="CF52" s="56"/>
      <c r="CG52" s="56"/>
      <c r="CH52" s="56"/>
      <c r="CI52" s="56"/>
      <c r="CJ52" s="56"/>
      <c r="CK52" s="56"/>
    </row>
    <row r="53" spans="1:179" s="57" customFormat="1" ht="9.75" customHeight="1" x14ac:dyDescent="0.15">
      <c r="A53" s="70"/>
      <c r="B53" s="278"/>
      <c r="C53" s="278"/>
      <c r="D53" s="44"/>
      <c r="E53" s="44"/>
      <c r="F53" s="44"/>
      <c r="G53" s="44"/>
      <c r="H53" s="44"/>
      <c r="I53" s="44"/>
      <c r="J53" s="53"/>
      <c r="K53" s="44"/>
      <c r="L53" s="44"/>
      <c r="M53" s="44"/>
      <c r="N53" s="44"/>
      <c r="O53" s="53"/>
      <c r="P53" s="44"/>
      <c r="Q53" s="44"/>
      <c r="R53" s="44"/>
      <c r="S53" s="44"/>
      <c r="T53" s="44"/>
      <c r="U53" s="44"/>
      <c r="V53" s="44"/>
      <c r="W53" s="44"/>
      <c r="X53" s="44"/>
      <c r="Y53" s="53"/>
      <c r="Z53" s="53"/>
      <c r="AA53" s="53"/>
      <c r="AB53" s="54"/>
      <c r="AC53" s="55"/>
      <c r="AD53" s="55"/>
      <c r="AE53" s="55"/>
      <c r="AF53" s="55"/>
      <c r="AG53" s="55"/>
      <c r="AH53" s="55"/>
      <c r="AI53" s="55"/>
      <c r="AJ53" s="55"/>
      <c r="AK53" s="55"/>
      <c r="AL53" s="55"/>
      <c r="AM53" s="55"/>
      <c r="AN53" s="55"/>
      <c r="AO53" s="56"/>
      <c r="AP53" s="56"/>
      <c r="AQ53" s="56"/>
      <c r="AR53" s="56"/>
      <c r="AS53" s="56"/>
      <c r="AT53" s="56"/>
      <c r="AU53" s="56"/>
      <c r="AV53" s="53"/>
      <c r="AW53" s="56"/>
      <c r="AX53" s="56"/>
      <c r="AZ53" s="58"/>
      <c r="BA53" s="58"/>
      <c r="BB53" s="56"/>
      <c r="BC53" s="56"/>
      <c r="BD53" s="56"/>
      <c r="BE53" s="56"/>
      <c r="BF53" s="56"/>
      <c r="BG53" s="56"/>
      <c r="BH53" s="56"/>
      <c r="BI53" s="56"/>
      <c r="BJ53" s="56"/>
      <c r="BK53" s="56"/>
      <c r="BL53" s="56"/>
      <c r="BM53" s="56"/>
      <c r="BN53" s="56"/>
      <c r="BO53" s="56"/>
      <c r="BP53" s="56"/>
      <c r="BQ53" s="53"/>
      <c r="BR53" s="56"/>
      <c r="BS53" s="56"/>
      <c r="BU53" s="58"/>
      <c r="BV53" s="58"/>
      <c r="BW53" s="56"/>
      <c r="BX53" s="56"/>
      <c r="BY53" s="56"/>
      <c r="BZ53" s="56"/>
      <c r="CA53" s="56"/>
      <c r="CB53" s="56"/>
      <c r="CC53" s="56"/>
      <c r="CD53" s="56"/>
      <c r="CE53" s="56"/>
      <c r="CF53" s="56"/>
      <c r="CG53" s="56"/>
      <c r="CH53" s="56"/>
      <c r="CI53" s="56"/>
      <c r="CJ53" s="56"/>
      <c r="CK53" s="56"/>
    </row>
    <row r="54" spans="1:179" s="57" customFormat="1" ht="9.75" customHeight="1" x14ac:dyDescent="0.15">
      <c r="A54" s="277"/>
      <c r="B54" s="280"/>
      <c r="C54" s="280"/>
      <c r="D54" s="44"/>
      <c r="E54" s="44"/>
      <c r="F54" s="44"/>
      <c r="G54" s="44"/>
      <c r="H54" s="44"/>
      <c r="I54" s="44"/>
      <c r="J54" s="53"/>
      <c r="K54" s="44"/>
      <c r="L54" s="44"/>
      <c r="M54" s="44"/>
      <c r="N54" s="44"/>
      <c r="O54" s="53"/>
      <c r="P54" s="44"/>
      <c r="Q54" s="44"/>
      <c r="R54" s="44"/>
      <c r="S54" s="44"/>
      <c r="T54" s="44"/>
      <c r="U54" s="44"/>
      <c r="V54" s="44"/>
      <c r="W54" s="44"/>
      <c r="X54" s="44"/>
      <c r="Y54" s="53"/>
      <c r="Z54" s="53"/>
      <c r="AA54" s="53"/>
      <c r="AB54" s="54"/>
      <c r="AC54" s="55"/>
      <c r="AD54" s="55"/>
      <c r="AE54" s="55"/>
      <c r="AF54" s="55"/>
      <c r="AG54" s="55"/>
      <c r="AH54" s="55"/>
      <c r="AI54" s="55"/>
      <c r="AJ54" s="55"/>
      <c r="AK54" s="55"/>
      <c r="AL54" s="55"/>
      <c r="AM54" s="55"/>
      <c r="AN54" s="55"/>
      <c r="AO54" s="56"/>
      <c r="AP54" s="56"/>
      <c r="AQ54" s="56"/>
      <c r="AR54" s="56"/>
      <c r="AS54" s="56"/>
      <c r="AT54" s="56"/>
      <c r="AU54" s="56"/>
      <c r="AV54" s="53"/>
      <c r="AW54" s="56"/>
      <c r="AX54" s="56"/>
      <c r="AZ54" s="58"/>
      <c r="BA54" s="58"/>
      <c r="BB54" s="56"/>
      <c r="BC54" s="56"/>
      <c r="BD54" s="56"/>
      <c r="BE54" s="56"/>
      <c r="BF54" s="56"/>
      <c r="BG54" s="56"/>
      <c r="BH54" s="56"/>
      <c r="BI54" s="56"/>
      <c r="BJ54" s="56"/>
      <c r="BK54" s="56"/>
      <c r="BL54" s="56"/>
      <c r="BM54" s="56"/>
      <c r="BN54" s="56"/>
      <c r="BO54" s="56"/>
      <c r="BP54" s="56"/>
      <c r="BQ54" s="53"/>
      <c r="BR54" s="56"/>
      <c r="BS54" s="56"/>
      <c r="BU54" s="58"/>
      <c r="BV54" s="58"/>
      <c r="BW54" s="56"/>
      <c r="BX54" s="56"/>
      <c r="BY54" s="56"/>
      <c r="BZ54" s="56"/>
      <c r="CA54" s="56"/>
      <c r="CB54" s="56"/>
      <c r="CC54" s="56"/>
      <c r="CD54" s="56"/>
      <c r="CE54" s="56"/>
      <c r="CF54" s="56"/>
      <c r="CG54" s="56"/>
      <c r="CH54" s="56"/>
      <c r="CI54" s="56"/>
      <c r="CJ54" s="56"/>
      <c r="CK54" s="56"/>
    </row>
    <row r="55" spans="1:179" s="57" customFormat="1" ht="11.25" customHeight="1" x14ac:dyDescent="0.15">
      <c r="A55" s="54"/>
      <c r="B55" s="54"/>
      <c r="C55" s="54"/>
      <c r="D55" s="44"/>
      <c r="E55" s="44"/>
      <c r="F55" s="44"/>
      <c r="G55" s="44"/>
      <c r="H55" s="44"/>
      <c r="I55" s="44"/>
      <c r="J55" s="64" t="s">
        <v>40</v>
      </c>
      <c r="K55" s="44"/>
      <c r="L55" s="44"/>
      <c r="M55" s="44"/>
      <c r="N55" s="44"/>
      <c r="O55" s="65"/>
      <c r="P55" s="44"/>
      <c r="Q55" s="44"/>
      <c r="R55" s="44"/>
      <c r="S55" s="44"/>
      <c r="T55" s="44"/>
      <c r="U55" s="44"/>
      <c r="V55" s="44"/>
      <c r="W55" s="44"/>
      <c r="X55" s="44"/>
      <c r="Y55" s="65"/>
      <c r="Z55" s="65"/>
      <c r="AA55" s="65"/>
      <c r="AB55" s="55"/>
      <c r="AC55" s="55"/>
      <c r="AD55" s="55"/>
      <c r="AE55" s="55"/>
      <c r="AF55" s="55"/>
      <c r="AG55" s="55"/>
      <c r="AH55" s="55"/>
      <c r="AI55" s="55"/>
      <c r="AJ55" s="55"/>
      <c r="AK55" s="55"/>
      <c r="AL55" s="55"/>
      <c r="AM55" s="55"/>
      <c r="AN55" s="55"/>
      <c r="AV55" s="65"/>
      <c r="AZ55" s="66"/>
      <c r="BA55" s="66"/>
      <c r="BQ55" s="65"/>
      <c r="BU55" s="66"/>
      <c r="BV55" s="66"/>
    </row>
    <row r="56" spans="1:179" s="57" customFormat="1" ht="11.25" customHeight="1" x14ac:dyDescent="0.15">
      <c r="A56" s="54"/>
      <c r="B56" s="54"/>
      <c r="C56" s="54"/>
      <c r="D56" s="44"/>
      <c r="E56" s="44"/>
      <c r="F56" s="44"/>
      <c r="G56" s="44"/>
      <c r="H56" s="44"/>
      <c r="I56" s="44"/>
      <c r="J56" s="64" t="s">
        <v>40</v>
      </c>
      <c r="K56" s="44"/>
      <c r="L56" s="44"/>
      <c r="M56" s="44"/>
      <c r="N56" s="44"/>
      <c r="O56" s="65"/>
      <c r="P56" s="44"/>
      <c r="Q56" s="44"/>
      <c r="R56" s="44"/>
      <c r="S56" s="44"/>
      <c r="T56" s="44"/>
      <c r="U56" s="44"/>
      <c r="V56" s="44"/>
      <c r="W56" s="44"/>
      <c r="X56" s="44"/>
      <c r="Y56" s="65"/>
      <c r="Z56" s="65"/>
      <c r="AA56" s="65"/>
      <c r="AB56" s="69"/>
      <c r="AC56" s="55"/>
      <c r="AD56" s="55"/>
      <c r="AE56" s="70"/>
      <c r="AF56" s="70"/>
      <c r="AG56" s="54"/>
      <c r="AH56" s="54"/>
      <c r="AI56" s="54"/>
      <c r="AJ56" s="54"/>
      <c r="AK56" s="54"/>
      <c r="AL56" s="54"/>
      <c r="AM56" s="54"/>
      <c r="AN56" s="54"/>
      <c r="AO56" s="56"/>
      <c r="AP56" s="56"/>
      <c r="AQ56" s="56"/>
      <c r="AR56" s="56"/>
      <c r="AS56" s="56"/>
      <c r="AT56" s="56"/>
      <c r="AU56" s="56"/>
      <c r="AV56" s="65"/>
      <c r="AW56" s="56"/>
      <c r="AX56" s="56"/>
      <c r="AZ56" s="58"/>
      <c r="BA56" s="58"/>
      <c r="BB56" s="56"/>
      <c r="BC56" s="56"/>
      <c r="BD56" s="56"/>
      <c r="BE56" s="56"/>
      <c r="BF56" s="56"/>
      <c r="BG56" s="56"/>
      <c r="BH56" s="56"/>
      <c r="BI56" s="56"/>
      <c r="BJ56" s="56"/>
      <c r="BK56" s="56"/>
      <c r="BL56" s="56"/>
      <c r="BM56" s="56"/>
      <c r="BN56" s="56"/>
      <c r="BO56" s="56"/>
      <c r="BP56" s="56"/>
      <c r="BQ56" s="65"/>
      <c r="BR56" s="56"/>
      <c r="BS56" s="56"/>
      <c r="BU56" s="58"/>
      <c r="BV56" s="58"/>
      <c r="BW56" s="56"/>
      <c r="BX56" s="56"/>
      <c r="BY56" s="56"/>
      <c r="BZ56" s="56"/>
      <c r="CA56" s="56"/>
      <c r="CB56" s="56"/>
      <c r="CC56" s="56"/>
      <c r="CD56" s="56"/>
      <c r="CE56" s="56"/>
      <c r="CF56" s="56"/>
      <c r="CG56" s="56"/>
      <c r="CH56" s="56"/>
      <c r="CI56" s="56"/>
      <c r="CJ56" s="56"/>
      <c r="CK56" s="56"/>
    </row>
    <row r="57" spans="1:179" s="57" customFormat="1" ht="11.25" customHeight="1" x14ac:dyDescent="0.2">
      <c r="A57" s="54"/>
      <c r="B57" s="54"/>
      <c r="C57" s="54"/>
      <c r="D57" s="87"/>
      <c r="E57" s="87"/>
      <c r="F57" s="39"/>
      <c r="G57" s="88"/>
      <c r="H57" s="39"/>
      <c r="I57" s="87"/>
      <c r="J57" s="64" t="s">
        <v>40</v>
      </c>
      <c r="K57" s="87"/>
      <c r="L57" s="39"/>
      <c r="M57" s="87"/>
      <c r="N57" s="39"/>
      <c r="O57" s="72"/>
      <c r="P57" s="39"/>
      <c r="Q57" s="41"/>
      <c r="R57" s="41"/>
      <c r="S57" s="41"/>
      <c r="T57" s="41"/>
      <c r="U57" s="41"/>
      <c r="V57" s="41"/>
      <c r="W57" s="41"/>
      <c r="X57" s="41"/>
      <c r="Y57" s="72"/>
      <c r="Z57" s="72"/>
      <c r="AA57" s="72"/>
      <c r="AB57" s="55"/>
      <c r="AC57" s="55"/>
      <c r="AD57" s="55"/>
      <c r="AE57" s="73"/>
      <c r="AF57" s="73"/>
      <c r="AG57" s="55"/>
      <c r="AH57" s="55"/>
      <c r="AI57" s="55"/>
      <c r="AJ57" s="55"/>
      <c r="AK57" s="55"/>
      <c r="AL57" s="55"/>
      <c r="AM57" s="55"/>
      <c r="AN57" s="55"/>
      <c r="AV57" s="72"/>
      <c r="AZ57" s="74"/>
      <c r="BA57" s="74"/>
      <c r="BQ57" s="72"/>
      <c r="BU57" s="74"/>
      <c r="BV57" s="74"/>
    </row>
    <row r="58" spans="1:179" s="57" customFormat="1" ht="11.25" customHeight="1" x14ac:dyDescent="0.15">
      <c r="A58" s="54"/>
      <c r="B58" s="54"/>
      <c r="C58" s="54"/>
      <c r="D58" s="44"/>
      <c r="E58" s="44"/>
      <c r="F58" s="44"/>
      <c r="G58" s="44"/>
      <c r="H58" s="44"/>
      <c r="I58" s="44"/>
      <c r="J58" s="64"/>
      <c r="K58" s="44"/>
      <c r="L58" s="44"/>
      <c r="M58" s="44"/>
      <c r="N58" s="44"/>
      <c r="O58" s="72"/>
      <c r="P58" s="44"/>
      <c r="Q58" s="44"/>
      <c r="R58" s="44"/>
      <c r="S58" s="44"/>
      <c r="T58" s="44"/>
      <c r="U58" s="44"/>
      <c r="V58" s="44"/>
      <c r="W58" s="44"/>
      <c r="X58" s="44"/>
      <c r="Y58" s="72"/>
      <c r="Z58" s="72"/>
      <c r="AA58" s="72"/>
      <c r="AB58" s="55"/>
      <c r="AC58" s="55"/>
      <c r="AD58" s="55"/>
      <c r="AE58" s="73"/>
      <c r="AF58" s="73"/>
      <c r="AG58" s="55"/>
      <c r="AH58" s="55"/>
      <c r="AI58" s="55"/>
      <c r="AJ58" s="55"/>
      <c r="AK58" s="55"/>
      <c r="AL58" s="55"/>
      <c r="AM58" s="55"/>
      <c r="AN58" s="55"/>
      <c r="AV58" s="72"/>
      <c r="AZ58" s="74"/>
      <c r="BA58" s="74"/>
      <c r="BQ58" s="72"/>
      <c r="BU58" s="74"/>
      <c r="BV58" s="74"/>
    </row>
    <row r="59" spans="1:179" s="57" customFormat="1" ht="11.25" customHeight="1" x14ac:dyDescent="0.15">
      <c r="A59" s="86"/>
      <c r="B59" s="54"/>
      <c r="C59" s="54"/>
      <c r="D59" s="44"/>
      <c r="E59" s="44"/>
      <c r="F59" s="44"/>
      <c r="G59" s="44"/>
      <c r="H59" s="44"/>
      <c r="I59" s="44"/>
      <c r="J59" s="64"/>
      <c r="K59" s="44"/>
      <c r="L59" s="44"/>
      <c r="M59" s="44"/>
      <c r="N59" s="44"/>
      <c r="O59" s="65"/>
      <c r="P59" s="44"/>
      <c r="Q59" s="44"/>
      <c r="R59" s="44"/>
      <c r="S59" s="44"/>
      <c r="T59" s="44"/>
      <c r="U59" s="44"/>
      <c r="V59" s="44"/>
      <c r="W59" s="44"/>
      <c r="X59" s="44"/>
      <c r="Y59" s="65"/>
      <c r="Z59" s="65"/>
      <c r="AA59" s="65"/>
      <c r="AB59" s="55"/>
      <c r="AC59" s="55"/>
      <c r="AD59" s="55"/>
      <c r="AE59" s="55"/>
      <c r="AF59" s="55"/>
      <c r="AG59" s="55"/>
      <c r="AH59" s="55"/>
      <c r="AI59" s="55"/>
      <c r="AJ59" s="55"/>
      <c r="AK59" s="55"/>
      <c r="AL59" s="55"/>
      <c r="AM59" s="55"/>
      <c r="AN59" s="55"/>
      <c r="AV59" s="65"/>
      <c r="AZ59" s="66"/>
      <c r="BA59" s="66"/>
      <c r="BQ59" s="65"/>
      <c r="BU59" s="66"/>
      <c r="BV59" s="66"/>
    </row>
    <row r="60" spans="1:179" s="57" customFormat="1" ht="11.25" customHeight="1" x14ac:dyDescent="0.15">
      <c r="A60" s="54"/>
      <c r="B60" s="281"/>
      <c r="C60" s="54"/>
      <c r="D60" s="44"/>
      <c r="E60" s="44"/>
      <c r="F60" s="44"/>
      <c r="G60" s="44"/>
      <c r="H60" s="44"/>
      <c r="I60" s="44"/>
      <c r="J60" s="64"/>
      <c r="K60" s="44"/>
      <c r="L60" s="44"/>
      <c r="M60" s="44"/>
      <c r="N60" s="44"/>
      <c r="O60" s="65"/>
      <c r="P60" s="44"/>
      <c r="Q60" s="44"/>
      <c r="R60" s="44"/>
      <c r="S60" s="44"/>
      <c r="T60" s="44"/>
      <c r="U60" s="44"/>
      <c r="V60" s="44"/>
      <c r="W60" s="44"/>
      <c r="X60" s="44"/>
      <c r="Y60" s="65"/>
      <c r="Z60" s="65"/>
      <c r="AA60" s="65"/>
      <c r="AB60" s="55"/>
      <c r="AC60" s="55"/>
      <c r="AD60" s="55"/>
      <c r="AE60" s="55"/>
      <c r="AF60" s="55"/>
      <c r="AG60" s="55"/>
      <c r="AH60" s="55"/>
      <c r="AI60" s="55"/>
      <c r="AJ60" s="55"/>
      <c r="AK60" s="55"/>
      <c r="AL60" s="55"/>
      <c r="AM60" s="55"/>
      <c r="AN60" s="55"/>
      <c r="AV60" s="65"/>
      <c r="AZ60" s="66"/>
      <c r="BA60" s="66"/>
      <c r="BQ60" s="65"/>
      <c r="BU60" s="66"/>
      <c r="BV60" s="66"/>
    </row>
    <row r="61" spans="1:179" s="57" customFormat="1" ht="11.25" customHeight="1" x14ac:dyDescent="0.15">
      <c r="A61" s="54"/>
      <c r="B61" s="281"/>
      <c r="C61" s="54"/>
      <c r="D61" s="44"/>
      <c r="E61" s="44"/>
      <c r="F61" s="44"/>
      <c r="G61" s="44"/>
      <c r="H61" s="44"/>
      <c r="I61" s="44"/>
      <c r="J61" s="64"/>
      <c r="K61" s="44"/>
      <c r="L61" s="44"/>
      <c r="M61" s="44"/>
      <c r="N61" s="44"/>
      <c r="O61" s="65"/>
      <c r="P61" s="44"/>
      <c r="Q61" s="44"/>
      <c r="R61" s="44"/>
      <c r="S61" s="44"/>
      <c r="T61" s="44"/>
      <c r="U61" s="44"/>
      <c r="V61" s="44"/>
      <c r="W61" s="44"/>
      <c r="X61" s="44"/>
      <c r="Y61" s="65"/>
      <c r="Z61" s="65"/>
      <c r="AA61" s="65"/>
      <c r="AB61" s="55"/>
      <c r="AC61" s="55"/>
      <c r="AD61" s="55"/>
      <c r="AE61" s="55"/>
      <c r="AF61" s="55"/>
      <c r="AG61" s="55"/>
      <c r="AH61" s="55"/>
      <c r="AI61" s="55"/>
      <c r="AJ61" s="55"/>
      <c r="AK61" s="55"/>
      <c r="AL61" s="55"/>
      <c r="AM61" s="55"/>
      <c r="AN61" s="55"/>
      <c r="AV61" s="65"/>
      <c r="AZ61" s="66"/>
      <c r="BA61" s="66"/>
      <c r="BQ61" s="65"/>
      <c r="BU61" s="66"/>
      <c r="BV61" s="66"/>
    </row>
    <row r="62" spans="1:179" s="57" customFormat="1" ht="11.25" customHeight="1" x14ac:dyDescent="0.15">
      <c r="A62" s="54"/>
      <c r="B62" s="54"/>
      <c r="C62" s="54"/>
      <c r="D62" s="44"/>
      <c r="E62" s="44"/>
      <c r="F62" s="44"/>
      <c r="G62" s="44"/>
      <c r="H62" s="44"/>
      <c r="I62" s="44"/>
      <c r="J62" s="64" t="s">
        <v>40</v>
      </c>
      <c r="K62" s="44"/>
      <c r="L62" s="44"/>
      <c r="M62" s="44"/>
      <c r="N62" s="44"/>
      <c r="O62" s="65"/>
      <c r="P62" s="44"/>
      <c r="Q62" s="44"/>
      <c r="R62" s="44"/>
      <c r="S62" s="44"/>
      <c r="T62" s="44"/>
      <c r="U62" s="44"/>
      <c r="V62" s="44"/>
      <c r="W62" s="44"/>
      <c r="X62" s="44"/>
      <c r="Y62" s="65"/>
      <c r="Z62" s="65"/>
      <c r="AA62" s="65"/>
      <c r="AB62" s="55"/>
      <c r="AC62" s="55"/>
      <c r="AD62" s="73"/>
      <c r="AE62" s="55"/>
      <c r="AF62" s="55"/>
      <c r="AG62" s="55"/>
      <c r="AH62" s="55"/>
      <c r="AI62" s="55"/>
      <c r="AJ62" s="55"/>
      <c r="AK62" s="55"/>
      <c r="AL62" s="55"/>
      <c r="AM62" s="55"/>
      <c r="AN62" s="55"/>
      <c r="AV62" s="65"/>
      <c r="AY62" s="74"/>
      <c r="BQ62" s="65"/>
      <c r="BT62" s="74"/>
    </row>
    <row r="63" spans="1:179" s="57" customFormat="1" ht="11.25" customHeight="1" x14ac:dyDescent="0.15">
      <c r="A63" s="54"/>
      <c r="B63" s="54"/>
      <c r="C63" s="54"/>
      <c r="D63" s="44"/>
      <c r="E63" s="44"/>
      <c r="F63" s="44"/>
      <c r="G63" s="44"/>
      <c r="H63" s="44"/>
      <c r="I63" s="44"/>
      <c r="J63" s="78" t="s">
        <v>40</v>
      </c>
      <c r="K63" s="44"/>
      <c r="L63" s="44"/>
      <c r="M63" s="44"/>
      <c r="N63" s="44"/>
      <c r="O63" s="53"/>
      <c r="P63" s="44"/>
      <c r="Q63" s="44"/>
      <c r="R63" s="44"/>
      <c r="S63" s="44"/>
      <c r="T63" s="44"/>
      <c r="U63" s="44"/>
      <c r="V63" s="44"/>
      <c r="W63" s="44"/>
      <c r="X63" s="44"/>
      <c r="Y63" s="53"/>
      <c r="Z63" s="53"/>
      <c r="AA63" s="53"/>
      <c r="AB63" s="54"/>
      <c r="AC63" s="55"/>
      <c r="AD63" s="55"/>
      <c r="AE63" s="55"/>
      <c r="AF63" s="79"/>
      <c r="AG63" s="55"/>
      <c r="AH63" s="55"/>
      <c r="AI63" s="55"/>
      <c r="AJ63" s="55"/>
      <c r="AK63" s="55"/>
      <c r="AL63" s="55"/>
      <c r="AM63" s="55"/>
      <c r="AN63" s="55"/>
      <c r="AO63" s="56"/>
      <c r="AP63" s="56"/>
      <c r="AQ63" s="56"/>
      <c r="AR63" s="56"/>
      <c r="AS63" s="56"/>
      <c r="AT63" s="56"/>
      <c r="AU63" s="56"/>
      <c r="AV63" s="53"/>
      <c r="AW63" s="56"/>
      <c r="AX63" s="56"/>
      <c r="AZ63" s="58"/>
      <c r="BA63" s="58"/>
      <c r="BB63" s="56"/>
      <c r="BC63" s="56"/>
      <c r="BD63" s="56"/>
      <c r="BE63" s="56"/>
      <c r="BF63" s="56"/>
      <c r="BG63" s="56"/>
      <c r="BH63" s="56"/>
      <c r="BI63" s="56"/>
      <c r="BJ63" s="56"/>
      <c r="BK63" s="56"/>
      <c r="BL63" s="56"/>
      <c r="BM63" s="56"/>
      <c r="BN63" s="56"/>
      <c r="BO63" s="56"/>
      <c r="BP63" s="56"/>
      <c r="BQ63" s="53"/>
      <c r="BR63" s="56"/>
      <c r="BS63" s="56"/>
      <c r="BU63" s="58"/>
      <c r="BV63" s="58"/>
      <c r="BW63" s="56"/>
      <c r="BX63" s="56"/>
      <c r="BY63" s="56"/>
      <c r="BZ63" s="56"/>
      <c r="CA63" s="56"/>
      <c r="CB63" s="56"/>
      <c r="CC63" s="56"/>
      <c r="CD63" s="56"/>
      <c r="CE63" s="56"/>
      <c r="CF63" s="56"/>
      <c r="CG63" s="56"/>
      <c r="CH63" s="56"/>
      <c r="CI63" s="56"/>
      <c r="CJ63" s="56"/>
      <c r="CK63" s="56"/>
    </row>
    <row r="64" spans="1:179" s="57" customFormat="1" ht="11.25" customHeight="1" x14ac:dyDescent="0.15">
      <c r="A64" s="54"/>
      <c r="B64" s="281"/>
      <c r="C64" s="54"/>
      <c r="D64" s="44"/>
      <c r="E64" s="44"/>
      <c r="F64" s="44"/>
      <c r="G64" s="44"/>
      <c r="H64" s="44"/>
      <c r="I64" s="44"/>
      <c r="J64" s="78"/>
      <c r="K64" s="44"/>
      <c r="L64" s="44"/>
      <c r="M64" s="44"/>
      <c r="N64" s="44"/>
      <c r="O64" s="53"/>
      <c r="P64" s="44"/>
      <c r="Q64" s="44"/>
      <c r="R64" s="44"/>
      <c r="S64" s="44"/>
      <c r="T64" s="44"/>
      <c r="U64" s="44"/>
      <c r="V64" s="44"/>
      <c r="W64" s="44"/>
      <c r="X64" s="44"/>
      <c r="Y64" s="53"/>
      <c r="Z64" s="53"/>
      <c r="AA64" s="53"/>
      <c r="AB64" s="54"/>
      <c r="AC64" s="55"/>
      <c r="AD64" s="55"/>
      <c r="AE64" s="55"/>
      <c r="AF64" s="79"/>
      <c r="AG64" s="55"/>
      <c r="AH64" s="55"/>
      <c r="AI64" s="55"/>
      <c r="AJ64" s="55"/>
      <c r="AK64" s="55"/>
      <c r="AL64" s="55"/>
      <c r="AM64" s="55"/>
      <c r="AN64" s="55"/>
      <c r="AO64" s="56"/>
      <c r="AP64" s="56"/>
      <c r="AQ64" s="56"/>
      <c r="AR64" s="56"/>
      <c r="AS64" s="56"/>
      <c r="AT64" s="56"/>
      <c r="AU64" s="56"/>
      <c r="AV64" s="53"/>
      <c r="AW64" s="56"/>
      <c r="AX64" s="56"/>
      <c r="AZ64" s="58"/>
      <c r="BA64" s="58"/>
      <c r="BB64" s="56"/>
      <c r="BC64" s="56"/>
      <c r="BD64" s="56"/>
      <c r="BE64" s="56"/>
      <c r="BF64" s="56"/>
      <c r="BG64" s="56"/>
      <c r="BH64" s="56"/>
      <c r="BI64" s="56"/>
      <c r="BJ64" s="56"/>
      <c r="BK64" s="56"/>
      <c r="BL64" s="56"/>
      <c r="BM64" s="56"/>
      <c r="BN64" s="56"/>
      <c r="BO64" s="56"/>
      <c r="BP64" s="56"/>
      <c r="BQ64" s="53"/>
      <c r="BR64" s="56"/>
      <c r="BS64" s="56"/>
      <c r="BU64" s="58"/>
      <c r="BV64" s="58"/>
      <c r="BW64" s="56"/>
      <c r="BX64" s="56"/>
      <c r="BY64" s="56"/>
      <c r="BZ64" s="56"/>
      <c r="CA64" s="56"/>
      <c r="CB64" s="56"/>
      <c r="CC64" s="56"/>
      <c r="CD64" s="56"/>
      <c r="CE64" s="56"/>
      <c r="CF64" s="56"/>
      <c r="CG64" s="56"/>
      <c r="CH64" s="56"/>
      <c r="CI64" s="56"/>
      <c r="CJ64" s="56"/>
      <c r="CK64" s="56"/>
    </row>
    <row r="65" spans="1:89" x14ac:dyDescent="0.2">
      <c r="A65" s="54"/>
      <c r="B65" s="54"/>
      <c r="C65" s="54"/>
      <c r="J65" s="80" t="s">
        <v>40</v>
      </c>
      <c r="O65" s="81"/>
      <c r="Y65" s="81"/>
      <c r="Z65" s="81"/>
      <c r="AA65" s="81"/>
      <c r="AB65" s="82"/>
      <c r="AC65" s="83"/>
      <c r="AD65" s="83"/>
      <c r="AE65" s="83"/>
      <c r="AF65" s="83"/>
      <c r="AG65" s="83"/>
      <c r="AH65" s="83"/>
      <c r="AI65" s="83"/>
      <c r="AJ65" s="83"/>
      <c r="AK65" s="83"/>
      <c r="AL65" s="83"/>
      <c r="AM65" s="83"/>
      <c r="AN65" s="83"/>
      <c r="AV65" s="81"/>
      <c r="BQ65" s="81"/>
    </row>
    <row r="66" spans="1:89" s="57" customFormat="1" ht="11.25" customHeight="1" x14ac:dyDescent="0.15">
      <c r="A66" s="54"/>
      <c r="B66" s="54"/>
      <c r="C66" s="54"/>
      <c r="D66" s="44"/>
      <c r="E66" s="44"/>
      <c r="F66" s="44"/>
      <c r="G66" s="44"/>
      <c r="H66" s="44"/>
      <c r="I66" s="44"/>
      <c r="J66" s="64" t="s">
        <v>40</v>
      </c>
      <c r="K66" s="44"/>
      <c r="L66" s="44"/>
      <c r="M66" s="44"/>
      <c r="N66" s="44"/>
      <c r="O66" s="65"/>
      <c r="P66" s="44"/>
      <c r="Q66" s="44"/>
      <c r="R66" s="44"/>
      <c r="S66" s="44"/>
      <c r="T66" s="44"/>
      <c r="U66" s="44"/>
      <c r="V66" s="44"/>
      <c r="W66" s="44"/>
      <c r="X66" s="44"/>
      <c r="Y66" s="65"/>
      <c r="Z66" s="65"/>
      <c r="AA66" s="65"/>
      <c r="AB66" s="55"/>
      <c r="AC66" s="55"/>
      <c r="AD66" s="55"/>
      <c r="AE66" s="55"/>
      <c r="AF66" s="55"/>
      <c r="AG66" s="55"/>
      <c r="AH66" s="55"/>
      <c r="AI66" s="55"/>
      <c r="AJ66" s="55"/>
      <c r="AK66" s="55"/>
      <c r="AL66" s="55"/>
      <c r="AM66" s="55"/>
      <c r="AN66" s="55"/>
      <c r="AV66" s="65"/>
      <c r="AY66" s="74"/>
      <c r="BQ66" s="65"/>
      <c r="BT66" s="74"/>
    </row>
    <row r="67" spans="1:89" s="57" customFormat="1" ht="11.25" customHeight="1" x14ac:dyDescent="0.15">
      <c r="A67" s="54"/>
      <c r="B67" s="54"/>
      <c r="C67" s="54"/>
      <c r="D67" s="44"/>
      <c r="E67" s="44"/>
      <c r="F67" s="44"/>
      <c r="G67" s="44"/>
      <c r="H67" s="44"/>
      <c r="I67" s="44"/>
      <c r="J67" s="64" t="s">
        <v>40</v>
      </c>
      <c r="K67" s="44"/>
      <c r="L67" s="44"/>
      <c r="M67" s="44"/>
      <c r="N67" s="44"/>
      <c r="O67" s="65"/>
      <c r="P67" s="44"/>
      <c r="Q67" s="44"/>
      <c r="R67" s="44"/>
      <c r="S67" s="44"/>
      <c r="T67" s="44"/>
      <c r="U67" s="44"/>
      <c r="V67" s="44"/>
      <c r="W67" s="44"/>
      <c r="X67" s="44"/>
      <c r="Y67" s="65"/>
      <c r="Z67" s="65"/>
      <c r="AA67" s="65"/>
      <c r="AB67" s="55"/>
      <c r="AC67" s="55"/>
      <c r="AD67" s="55"/>
      <c r="AE67" s="55"/>
      <c r="AF67" s="55"/>
      <c r="AG67" s="55"/>
      <c r="AH67" s="55"/>
      <c r="AI67" s="55"/>
      <c r="AJ67" s="55"/>
      <c r="AK67" s="55"/>
      <c r="AL67" s="55"/>
      <c r="AM67" s="55"/>
      <c r="AN67" s="55"/>
      <c r="AV67" s="65"/>
      <c r="BQ67" s="65"/>
    </row>
    <row r="68" spans="1:89" s="57" customFormat="1" ht="11.25" customHeight="1" x14ac:dyDescent="0.15">
      <c r="A68" s="54"/>
      <c r="B68" s="281"/>
      <c r="C68" s="54"/>
      <c r="D68" s="44"/>
      <c r="E68" s="44"/>
      <c r="F68" s="44"/>
      <c r="G68" s="44"/>
      <c r="H68" s="44"/>
      <c r="I68" s="44"/>
      <c r="J68" s="64"/>
      <c r="K68" s="44"/>
      <c r="L68" s="44"/>
      <c r="M68" s="44"/>
      <c r="N68" s="44"/>
      <c r="O68" s="65"/>
      <c r="P68" s="44"/>
      <c r="Q68" s="44"/>
      <c r="R68" s="44"/>
      <c r="S68" s="44"/>
      <c r="T68" s="44"/>
      <c r="U68" s="44"/>
      <c r="V68" s="44"/>
      <c r="W68" s="44"/>
      <c r="X68" s="44"/>
      <c r="Y68" s="65"/>
      <c r="Z68" s="65"/>
      <c r="AA68" s="65"/>
      <c r="AB68" s="55"/>
      <c r="AC68" s="55"/>
      <c r="AD68" s="55"/>
      <c r="AE68" s="55"/>
      <c r="AF68" s="55"/>
      <c r="AG68" s="55"/>
      <c r="AH68" s="55"/>
      <c r="AI68" s="55"/>
      <c r="AJ68" s="55"/>
      <c r="AK68" s="55"/>
      <c r="AL68" s="55"/>
      <c r="AM68" s="55"/>
      <c r="AN68" s="55"/>
      <c r="AV68" s="65"/>
      <c r="BQ68" s="65"/>
    </row>
    <row r="69" spans="1:89" s="57" customFormat="1" ht="11.25" customHeight="1" x14ac:dyDescent="0.15">
      <c r="A69" s="54"/>
      <c r="B69" s="54"/>
      <c r="C69" s="54"/>
      <c r="D69" s="44"/>
      <c r="E69" s="44"/>
      <c r="F69" s="44"/>
      <c r="G69" s="44"/>
      <c r="H69" s="44"/>
      <c r="I69" s="44"/>
      <c r="J69" s="78"/>
      <c r="K69" s="44"/>
      <c r="L69" s="44"/>
      <c r="M69" s="44"/>
      <c r="N69" s="44"/>
      <c r="O69" s="53"/>
      <c r="P69" s="44"/>
      <c r="Q69" s="44"/>
      <c r="R69" s="44"/>
      <c r="S69" s="44"/>
      <c r="T69" s="44"/>
      <c r="U69" s="44"/>
      <c r="V69" s="44"/>
      <c r="W69" s="44"/>
      <c r="X69" s="44"/>
      <c r="Y69" s="53"/>
      <c r="Z69" s="53"/>
      <c r="AA69" s="53"/>
      <c r="AB69" s="54"/>
      <c r="AC69" s="55"/>
      <c r="AD69" s="55"/>
      <c r="AE69" s="55"/>
      <c r="AF69" s="79"/>
      <c r="AG69" s="55"/>
      <c r="AH69" s="55"/>
      <c r="AI69" s="55"/>
      <c r="AJ69" s="55"/>
      <c r="AK69" s="55"/>
      <c r="AL69" s="55"/>
      <c r="AM69" s="55"/>
      <c r="AN69" s="55"/>
      <c r="AO69" s="56"/>
      <c r="AP69" s="56"/>
      <c r="AQ69" s="56"/>
      <c r="AR69" s="56"/>
      <c r="AS69" s="56"/>
      <c r="AT69" s="56"/>
      <c r="AU69" s="56"/>
      <c r="AV69" s="53"/>
      <c r="AW69" s="56"/>
      <c r="AX69" s="56"/>
      <c r="AZ69" s="58"/>
      <c r="BA69" s="58"/>
      <c r="BB69" s="56"/>
      <c r="BC69" s="56"/>
      <c r="BD69" s="56"/>
      <c r="BE69" s="56"/>
      <c r="BF69" s="56"/>
      <c r="BG69" s="56"/>
      <c r="BH69" s="56"/>
      <c r="BI69" s="56"/>
      <c r="BJ69" s="56"/>
      <c r="BK69" s="56"/>
      <c r="BL69" s="56"/>
      <c r="BM69" s="56"/>
      <c r="BN69" s="56"/>
      <c r="BO69" s="56"/>
      <c r="BP69" s="56"/>
      <c r="BQ69" s="53"/>
      <c r="BR69" s="56"/>
      <c r="BS69" s="56"/>
      <c r="BU69" s="58"/>
      <c r="BV69" s="58"/>
      <c r="BW69" s="56"/>
      <c r="BX69" s="56"/>
      <c r="BY69" s="56"/>
      <c r="BZ69" s="56"/>
      <c r="CA69" s="56"/>
      <c r="CB69" s="56"/>
      <c r="CC69" s="56"/>
      <c r="CD69" s="56"/>
      <c r="CE69" s="56"/>
      <c r="CF69" s="56"/>
      <c r="CG69" s="56"/>
      <c r="CH69" s="56"/>
      <c r="CI69" s="56"/>
      <c r="CJ69" s="56"/>
      <c r="CK69" s="56"/>
    </row>
    <row r="70" spans="1:89" s="57" customFormat="1" ht="11.25" customHeight="1" x14ac:dyDescent="0.15">
      <c r="A70" s="86"/>
      <c r="B70" s="54"/>
      <c r="C70" s="54"/>
      <c r="D70" s="44"/>
      <c r="E70" s="44"/>
      <c r="F70" s="44"/>
      <c r="G70" s="44"/>
      <c r="H70" s="44"/>
      <c r="I70" s="44"/>
      <c r="J70" s="78"/>
      <c r="K70" s="44"/>
      <c r="L70" s="44"/>
      <c r="M70" s="44"/>
      <c r="N70" s="44"/>
      <c r="O70" s="53"/>
      <c r="P70" s="44"/>
      <c r="Q70" s="44"/>
      <c r="R70" s="44"/>
      <c r="S70" s="44"/>
      <c r="T70" s="44"/>
      <c r="U70" s="44"/>
      <c r="V70" s="44"/>
      <c r="W70" s="44"/>
      <c r="X70" s="44"/>
      <c r="Y70" s="53"/>
      <c r="Z70" s="53"/>
      <c r="AA70" s="53"/>
      <c r="AB70" s="54"/>
      <c r="AC70" s="55"/>
      <c r="AD70" s="55"/>
      <c r="AE70" s="55"/>
      <c r="AF70" s="79"/>
      <c r="AG70" s="55"/>
      <c r="AH70" s="55"/>
      <c r="AI70" s="55"/>
      <c r="AJ70" s="55"/>
      <c r="AK70" s="55"/>
      <c r="AL70" s="55"/>
      <c r="AM70" s="55"/>
      <c r="AN70" s="55"/>
      <c r="AO70" s="56"/>
      <c r="AP70" s="56"/>
      <c r="AQ70" s="56"/>
      <c r="AR70" s="56"/>
      <c r="AS70" s="56"/>
      <c r="AT70" s="56"/>
      <c r="AU70" s="56"/>
      <c r="AV70" s="53"/>
      <c r="AW70" s="56"/>
      <c r="AX70" s="56"/>
      <c r="AZ70" s="58"/>
      <c r="BA70" s="58"/>
      <c r="BB70" s="56"/>
      <c r="BC70" s="56"/>
      <c r="BD70" s="56"/>
      <c r="BE70" s="56"/>
      <c r="BF70" s="56"/>
      <c r="BG70" s="56"/>
      <c r="BH70" s="56"/>
      <c r="BI70" s="56"/>
      <c r="BJ70" s="56"/>
      <c r="BK70" s="56"/>
      <c r="BL70" s="56"/>
      <c r="BM70" s="56"/>
      <c r="BN70" s="56"/>
      <c r="BO70" s="56"/>
      <c r="BP70" s="56"/>
      <c r="BQ70" s="53"/>
      <c r="BR70" s="56"/>
      <c r="BS70" s="56"/>
      <c r="BU70" s="58"/>
      <c r="BV70" s="58"/>
      <c r="BW70" s="56"/>
      <c r="BX70" s="56"/>
      <c r="BY70" s="56"/>
      <c r="BZ70" s="56"/>
      <c r="CA70" s="56"/>
      <c r="CB70" s="56"/>
      <c r="CC70" s="56"/>
      <c r="CD70" s="56"/>
      <c r="CE70" s="56"/>
      <c r="CF70" s="56"/>
      <c r="CG70" s="56"/>
      <c r="CH70" s="56"/>
      <c r="CI70" s="56"/>
      <c r="CJ70" s="56"/>
      <c r="CK70" s="56"/>
    </row>
    <row r="71" spans="1:89" s="57" customFormat="1" ht="11.25" customHeight="1" x14ac:dyDescent="0.15">
      <c r="A71" s="282"/>
      <c r="B71" s="54"/>
      <c r="C71" s="54"/>
      <c r="D71" s="44"/>
      <c r="E71" s="44"/>
      <c r="F71" s="44"/>
      <c r="G71" s="44"/>
      <c r="H71" s="44"/>
      <c r="I71" s="44"/>
      <c r="J71" s="64" t="s">
        <v>40</v>
      </c>
      <c r="K71" s="44"/>
      <c r="L71" s="44"/>
      <c r="M71" s="44"/>
      <c r="N71" s="44"/>
      <c r="O71" s="65"/>
      <c r="P71" s="44"/>
      <c r="Q71" s="44"/>
      <c r="R71" s="44"/>
      <c r="S71" s="44"/>
      <c r="T71" s="44"/>
      <c r="U71" s="44"/>
      <c r="V71" s="44"/>
      <c r="W71" s="44"/>
      <c r="X71" s="44"/>
      <c r="Y71" s="65"/>
      <c r="Z71" s="65"/>
      <c r="AA71" s="65"/>
      <c r="AB71" s="55"/>
      <c r="AC71" s="55"/>
      <c r="AD71" s="73"/>
      <c r="AE71" s="55"/>
      <c r="AF71" s="55"/>
      <c r="AG71" s="55"/>
      <c r="AH71" s="55"/>
      <c r="AI71" s="55"/>
      <c r="AJ71" s="55"/>
      <c r="AK71" s="55"/>
      <c r="AL71" s="55"/>
      <c r="AM71" s="55"/>
      <c r="AN71" s="55"/>
      <c r="AV71" s="65"/>
      <c r="BQ71" s="65"/>
    </row>
    <row r="72" spans="1:89" x14ac:dyDescent="0.2">
      <c r="A72" s="283"/>
      <c r="B72" s="56"/>
      <c r="C72" s="56"/>
      <c r="J72" s="80" t="s">
        <v>40</v>
      </c>
      <c r="O72" s="81"/>
      <c r="Y72" s="81"/>
      <c r="Z72" s="81"/>
      <c r="AA72" s="81"/>
      <c r="AV72" s="81"/>
      <c r="BQ72" s="81"/>
    </row>
    <row r="73" spans="1:89" x14ac:dyDescent="0.2">
      <c r="A73" s="54"/>
      <c r="B73" s="54"/>
      <c r="C73" s="280"/>
      <c r="J73" s="80" t="s">
        <v>40</v>
      </c>
      <c r="O73" s="81"/>
      <c r="Y73" s="81"/>
      <c r="Z73" s="81"/>
      <c r="AA73" s="81"/>
      <c r="AB73" s="83"/>
      <c r="AC73" s="83"/>
      <c r="AD73" s="83"/>
      <c r="AE73" s="83"/>
      <c r="AF73" s="83"/>
      <c r="AG73" s="83"/>
      <c r="AH73" s="83"/>
      <c r="AI73" s="83"/>
      <c r="AJ73" s="83"/>
      <c r="AK73" s="83"/>
      <c r="AL73" s="83"/>
      <c r="AM73" s="83"/>
      <c r="AN73" s="83"/>
      <c r="AV73" s="81"/>
      <c r="BQ73" s="81"/>
    </row>
    <row r="74" spans="1:89" x14ac:dyDescent="0.2">
      <c r="A74" s="54"/>
      <c r="B74" s="56"/>
      <c r="C74" s="54"/>
      <c r="J74" s="80" t="s">
        <v>40</v>
      </c>
      <c r="O74" s="81"/>
      <c r="Y74" s="81"/>
      <c r="Z74" s="81"/>
      <c r="AA74" s="81"/>
      <c r="AB74" s="83"/>
      <c r="AC74" s="83"/>
      <c r="AD74" s="83"/>
      <c r="AV74" s="81"/>
      <c r="BQ74" s="81"/>
    </row>
    <row r="75" spans="1:89" x14ac:dyDescent="0.2">
      <c r="A75" s="54"/>
      <c r="B75" s="56"/>
      <c r="C75" s="54"/>
      <c r="J75" s="80"/>
      <c r="O75" s="81"/>
      <c r="Y75" s="81"/>
      <c r="Z75" s="81"/>
      <c r="AA75" s="81"/>
      <c r="AB75" s="83"/>
      <c r="AC75" s="83"/>
      <c r="AD75" s="83"/>
      <c r="AV75" s="81"/>
      <c r="BQ75" s="81"/>
    </row>
    <row r="76" spans="1:89" x14ac:dyDescent="0.2">
      <c r="A76" s="43"/>
      <c r="B76" s="44"/>
      <c r="C76" s="44"/>
      <c r="J76" s="64" t="s">
        <v>40</v>
      </c>
      <c r="O76" s="84"/>
      <c r="Y76" s="84"/>
      <c r="Z76" s="84"/>
      <c r="AA76" s="84"/>
      <c r="AV76" s="84"/>
      <c r="BQ76" s="84"/>
    </row>
    <row r="77" spans="1:89" s="57" customFormat="1" ht="11.25" customHeight="1" x14ac:dyDescent="0.15">
      <c r="A77" s="282"/>
      <c r="B77" s="54"/>
      <c r="C77" s="54"/>
      <c r="D77" s="44"/>
      <c r="E77" s="44"/>
      <c r="F77" s="44"/>
      <c r="G77" s="44"/>
      <c r="H77" s="44"/>
      <c r="I77" s="44"/>
      <c r="J77" s="64" t="s">
        <v>40</v>
      </c>
      <c r="K77" s="44"/>
      <c r="L77" s="44"/>
      <c r="M77" s="44"/>
      <c r="N77" s="44"/>
      <c r="O77" s="72"/>
      <c r="P77" s="44"/>
      <c r="Q77" s="44"/>
      <c r="R77" s="44"/>
      <c r="S77" s="44"/>
      <c r="T77" s="44"/>
      <c r="U77" s="44"/>
      <c r="V77" s="44"/>
      <c r="W77" s="44"/>
      <c r="X77" s="44"/>
      <c r="Y77" s="72"/>
      <c r="Z77" s="72"/>
      <c r="AA77" s="72"/>
      <c r="AB77" s="55"/>
      <c r="AC77" s="55"/>
      <c r="AD77" s="55"/>
      <c r="AE77" s="55"/>
      <c r="AF77" s="55"/>
      <c r="AG77" s="55"/>
      <c r="AH77" s="55"/>
      <c r="AI77" s="55"/>
      <c r="AJ77" s="55"/>
      <c r="AK77" s="55"/>
      <c r="AL77" s="55"/>
      <c r="AM77" s="55"/>
      <c r="AN77" s="55"/>
      <c r="AV77" s="72"/>
      <c r="BQ77" s="72"/>
    </row>
    <row r="78" spans="1:89" x14ac:dyDescent="0.2">
      <c r="B78" s="44"/>
      <c r="C78" s="44"/>
      <c r="J78" s="78" t="s">
        <v>40</v>
      </c>
      <c r="O78" s="81"/>
      <c r="Y78" s="81"/>
      <c r="Z78" s="81"/>
      <c r="AA78" s="81"/>
      <c r="AV78" s="81"/>
      <c r="BQ78" s="81"/>
    </row>
    <row r="79" spans="1:89" x14ac:dyDescent="0.2">
      <c r="J79" s="64" t="s">
        <v>40</v>
      </c>
      <c r="O79" s="81"/>
      <c r="Y79" s="81"/>
      <c r="Z79" s="81"/>
      <c r="AA79" s="81"/>
      <c r="AV79" s="81"/>
      <c r="BQ79" s="81"/>
    </row>
    <row r="80" spans="1:89" x14ac:dyDescent="0.2">
      <c r="J80" s="64" t="s">
        <v>40</v>
      </c>
      <c r="O80" s="85"/>
      <c r="Y80" s="85"/>
      <c r="Z80" s="85"/>
      <c r="AA80" s="85"/>
      <c r="AV80" s="85"/>
      <c r="BQ80" s="85"/>
    </row>
    <row r="81" spans="1:69" x14ac:dyDescent="0.2">
      <c r="J81" s="64" t="s">
        <v>40</v>
      </c>
      <c r="L81" s="43"/>
      <c r="M81" s="43" t="s">
        <v>53</v>
      </c>
      <c r="O81" s="81"/>
      <c r="Y81" s="81"/>
      <c r="Z81" s="81"/>
      <c r="AA81" s="81"/>
      <c r="AV81" s="81"/>
      <c r="BQ81" s="81"/>
    </row>
    <row r="82" spans="1:69" x14ac:dyDescent="0.2">
      <c r="J82" s="64" t="s">
        <v>40</v>
      </c>
    </row>
    <row r="83" spans="1:69" x14ac:dyDescent="0.2">
      <c r="J83" s="64" t="s">
        <v>40</v>
      </c>
    </row>
    <row r="84" spans="1:69" x14ac:dyDescent="0.2">
      <c r="C84" s="43" t="s">
        <v>240</v>
      </c>
      <c r="J84" s="78" t="s">
        <v>40</v>
      </c>
      <c r="M84" s="43" t="s">
        <v>241</v>
      </c>
    </row>
    <row r="85" spans="1:69" x14ac:dyDescent="0.2">
      <c r="J85" s="64" t="s">
        <v>40</v>
      </c>
    </row>
    <row r="86" spans="1:69" x14ac:dyDescent="0.2">
      <c r="J86" s="64" t="s">
        <v>40</v>
      </c>
    </row>
    <row r="87" spans="1:69" x14ac:dyDescent="0.2">
      <c r="J87" s="64" t="s">
        <v>40</v>
      </c>
    </row>
    <row r="88" spans="1:69" x14ac:dyDescent="0.2">
      <c r="A88" s="43"/>
      <c r="J88" s="64" t="s">
        <v>40</v>
      </c>
    </row>
    <row r="89" spans="1:69" x14ac:dyDescent="0.2">
      <c r="J89" s="64" t="s">
        <v>40</v>
      </c>
    </row>
    <row r="90" spans="1:69" x14ac:dyDescent="0.2">
      <c r="J90" s="64" t="s">
        <v>40</v>
      </c>
    </row>
    <row r="91" spans="1:69" x14ac:dyDescent="0.2">
      <c r="J91" s="64" t="s">
        <v>40</v>
      </c>
    </row>
    <row r="92" spans="1:69" x14ac:dyDescent="0.2">
      <c r="J92" s="64" t="s">
        <v>40</v>
      </c>
    </row>
    <row r="93" spans="1:69" x14ac:dyDescent="0.2">
      <c r="J93" s="64" t="s">
        <v>40</v>
      </c>
    </row>
    <row r="94" spans="1:69" x14ac:dyDescent="0.2">
      <c r="J94" s="80" t="s">
        <v>40</v>
      </c>
      <c r="O94" s="43"/>
      <c r="Y94" s="86"/>
      <c r="Z94" s="43"/>
      <c r="AA94" s="86"/>
      <c r="AV94" s="86"/>
      <c r="BQ94" s="86"/>
    </row>
    <row r="95" spans="1:69" x14ac:dyDescent="0.2">
      <c r="J95" s="80" t="s">
        <v>40</v>
      </c>
    </row>
    <row r="96" spans="1:69" x14ac:dyDescent="0.2">
      <c r="J96" s="80"/>
    </row>
    <row r="97" spans="3:69" x14ac:dyDescent="0.2">
      <c r="J97" s="80"/>
    </row>
    <row r="104" spans="3:69" ht="14.25" x14ac:dyDescent="0.2">
      <c r="J104" s="39"/>
      <c r="O104" s="87"/>
      <c r="Y104" s="89"/>
      <c r="Z104" s="41"/>
      <c r="AA104" s="89"/>
      <c r="AB104" s="41"/>
      <c r="AC104" s="41"/>
      <c r="AD104" s="41"/>
      <c r="AV104" s="89"/>
      <c r="BQ104" s="89"/>
    </row>
    <row r="112" spans="3:69" x14ac:dyDescent="0.2">
      <c r="C112" s="43" t="s">
        <v>173</v>
      </c>
    </row>
    <row r="170" spans="12:16" x14ac:dyDescent="0.2">
      <c r="L170" s="44" t="s">
        <v>11</v>
      </c>
      <c r="M170" s="44" t="s">
        <v>12</v>
      </c>
      <c r="N170" s="44">
        <v>2021</v>
      </c>
      <c r="P170" s="44">
        <v>2023</v>
      </c>
    </row>
    <row r="175" spans="12:16" x14ac:dyDescent="0.2">
      <c r="L175" s="43" t="s">
        <v>54</v>
      </c>
    </row>
    <row r="178" spans="12:12" x14ac:dyDescent="0.2">
      <c r="L178" s="43" t="s">
        <v>174</v>
      </c>
    </row>
    <row r="260" spans="2:16" x14ac:dyDescent="0.2">
      <c r="B260" s="44" t="s">
        <v>9</v>
      </c>
      <c r="C260" s="44" t="s">
        <v>8</v>
      </c>
      <c r="D260" s="44" t="s">
        <v>11</v>
      </c>
      <c r="E260" s="44" t="s">
        <v>12</v>
      </c>
      <c r="F260" s="44" t="s">
        <v>188</v>
      </c>
      <c r="G260" s="44" t="s">
        <v>189</v>
      </c>
      <c r="H260" s="44" t="s">
        <v>190</v>
      </c>
      <c r="I260" s="44" t="s">
        <v>187</v>
      </c>
      <c r="J260" s="44" t="s">
        <v>234</v>
      </c>
      <c r="K260" s="44" t="s">
        <v>235</v>
      </c>
      <c r="L260" s="44" t="s">
        <v>236</v>
      </c>
      <c r="M260" s="44" t="s">
        <v>237</v>
      </c>
      <c r="N260" s="44">
        <v>2023</v>
      </c>
      <c r="O260" s="44">
        <v>2024</v>
      </c>
      <c r="P260" s="44">
        <v>2025</v>
      </c>
    </row>
  </sheetData>
  <mergeCells count="13">
    <mergeCell ref="P1:S1"/>
    <mergeCell ref="B2:C2"/>
    <mergeCell ref="D2:E2"/>
    <mergeCell ref="A1:A2"/>
    <mergeCell ref="B1:C1"/>
    <mergeCell ref="D1:E1"/>
    <mergeCell ref="F1:I1"/>
    <mergeCell ref="K1:N1"/>
    <mergeCell ref="V2:X2"/>
    <mergeCell ref="D4:E4"/>
    <mergeCell ref="D5:E5"/>
    <mergeCell ref="B29:C29"/>
    <mergeCell ref="D29:E29"/>
  </mergeCells>
  <conditionalFormatting sqref="AB49:AD49 AG49:AI49 AL49:AN49 AQ49:AS49 BB49:BD49 BG49:BI49 BL49:BN49 BR49:BT49 BW49:BY49 CB49:CD49 CG49:CI49 U49:X49">
    <cfRule type="cellIs" dxfId="23" priority="7" operator="lessThan">
      <formula>0</formula>
    </cfRule>
    <cfRule type="cellIs" dxfId="22" priority="8" operator="greaterThan">
      <formula>0</formula>
    </cfRule>
  </conditionalFormatting>
  <conditionalFormatting sqref="AB49:AD49 AG49:AI49 AL49:AN49 AQ49:AS49 BB49:BD49 BG49:BI49 BL49:BN49 BR49:BT49 BW49:BY49 CB49:CD49 CG49:CI49 AW49:AY49">
    <cfRule type="cellIs" dxfId="21" priority="5" operator="lessThan">
      <formula>0</formula>
    </cfRule>
    <cfRule type="cellIs" dxfId="20" priority="6" operator="greaterThan">
      <formula>0</formula>
    </cfRule>
  </conditionalFormatting>
  <conditionalFormatting sqref="F49:I49 K49:N49 P49:S49">
    <cfRule type="cellIs" dxfId="19" priority="3" operator="lessThan">
      <formula>0</formula>
    </cfRule>
    <cfRule type="cellIs" dxfId="18" priority="4" operator="greaterThan">
      <formula>0</formula>
    </cfRule>
  </conditionalFormatting>
  <conditionalFormatting sqref="F49:I49 K49:N49 P49:S49">
    <cfRule type="cellIs" dxfId="17" priority="1" operator="lessThan">
      <formula>0</formula>
    </cfRule>
    <cfRule type="cellIs" dxfId="16" priority="2" operator="greaterThan">
      <formula>0</formula>
    </cfRule>
  </conditionalFormatting>
  <pageMargins left="0.78740157499999996" right="0.78740157499999996" top="0.984251969" bottom="0.984251969" header="0.4921259845" footer="0.4921259845"/>
  <pageSetup paperSize="9" scale="61" orientation="landscape"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11</vt:i4>
      </vt:variant>
    </vt:vector>
  </HeadingPairs>
  <TitlesOfParts>
    <vt:vector size="11" baseType="lpstr">
      <vt:lpstr>Your Estimation</vt:lpstr>
      <vt:lpstr>Links to Statistics</vt:lpstr>
      <vt:lpstr>Result of your Estimation</vt:lpstr>
      <vt:lpstr>Short Version Cautious</vt:lpstr>
      <vt:lpstr>Cautious</vt:lpstr>
      <vt:lpstr>Realistic</vt:lpstr>
      <vt:lpstr>Comparision successful Networks</vt:lpstr>
      <vt:lpstr>Optimistic</vt:lpstr>
      <vt:lpstr>Pessimistic</vt:lpstr>
      <vt:lpstr>Worst Case</vt:lpstr>
      <vt:lpstr>Possible+</vt:lpstr>
    </vt:vector>
  </TitlesOfParts>
  <Company>imakomm AKADEMIE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Vorlage Liquiditätsplanung</dc:title>
  <dc:creator>Peter Markert</dc:creator>
  <cp:lastModifiedBy>Customer</cp:lastModifiedBy>
  <cp:lastPrinted>2005-01-25T17:37:30Z</cp:lastPrinted>
  <dcterms:created xsi:type="dcterms:W3CDTF">2005-01-25T17:26:58Z</dcterms:created>
  <dcterms:modified xsi:type="dcterms:W3CDTF">2019-12-04T12:21:58Z</dcterms:modified>
</cp:coreProperties>
</file>